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SO\DSO Benefits\Strategy\Quantification\"/>
    </mc:Choice>
  </mc:AlternateContent>
  <xr:revisionPtr revIDLastSave="26" documentId="13_ncr:1_{763EC97E-F536-4B2D-AA67-3B7241879623}" xr6:coauthVersionLast="47" xr6:coauthVersionMax="47" xr10:uidLastSave="{289DA56F-1878-4051-AA9B-EF84C772FA9F}"/>
  <bookViews>
    <workbookView xWindow="38280" yWindow="3960" windowWidth="29040" windowHeight="15840" firstSheet="2" activeTab="2" xr2:uid="{AA7C991A-B21F-46A1-8BA9-DE0C3F636BF4}"/>
  </bookViews>
  <sheets>
    <sheet name="Carbon" sheetId="8" r:id="rId1"/>
    <sheet name="Carbon Conversion Factors" sheetId="9" r:id="rId2"/>
    <sheet name="Financials" sheetId="4" r:id="rId3"/>
    <sheet name="Financial Conversion Factors" sheetId="5" r:id="rId4"/>
    <sheet name="Dropdowns" sheetId="3" state="hidden" r:id="rId5"/>
  </sheets>
  <definedNames>
    <definedName name="_xlnm._FilterDatabase" localSheetId="2" hidden="1">Financials!$C$2:$AK$22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9" l="1"/>
  <c r="E2" i="9"/>
  <c r="AK6" i="8" l="1"/>
  <c r="AJ6" i="8"/>
  <c r="AI6" i="8"/>
  <c r="AF6" i="8"/>
  <c r="AE6" i="8"/>
  <c r="AD6" i="8"/>
  <c r="Y6" i="8"/>
  <c r="W3" i="8" l="1"/>
  <c r="AH6" i="8" l="1"/>
  <c r="M19" i="4" s="1"/>
  <c r="AC6" i="8"/>
  <c r="AG6" i="8"/>
  <c r="AB6" i="8"/>
  <c r="I19" i="4" s="1"/>
  <c r="AK5" i="8"/>
  <c r="AE4" i="8"/>
  <c r="AJ5" i="8"/>
  <c r="AD4" i="8"/>
  <c r="AI5" i="8"/>
  <c r="AC4" i="8"/>
  <c r="AG3" i="8"/>
  <c r="AJ4" i="8"/>
  <c r="AB3" i="8"/>
  <c r="AH5" i="8"/>
  <c r="AB4" i="8"/>
  <c r="AC5" i="8"/>
  <c r="AF3" i="8"/>
  <c r="AC3" i="8"/>
  <c r="AG5" i="8"/>
  <c r="AK3" i="8"/>
  <c r="AH3" i="8"/>
  <c r="AK4" i="8"/>
  <c r="AI4" i="8"/>
  <c r="AG4" i="8"/>
  <c r="AF5" i="8"/>
  <c r="AJ3" i="8"/>
  <c r="AD5" i="8"/>
  <c r="AE3" i="8"/>
  <c r="AH4" i="8"/>
  <c r="AN4" i="8" s="1"/>
  <c r="AE5" i="8"/>
  <c r="AI3" i="8"/>
  <c r="AB5" i="8"/>
  <c r="AM5" i="8" s="1"/>
  <c r="AD3" i="8"/>
  <c r="AF4" i="8"/>
  <c r="AN6" i="8" l="1"/>
  <c r="AM6" i="8"/>
  <c r="AN5" i="8"/>
  <c r="AO5" i="8" s="1"/>
  <c r="AM3" i="8"/>
  <c r="AN3" i="8"/>
  <c r="AM4" i="8"/>
  <c r="AO4" i="8" s="1"/>
  <c r="U7" i="4"/>
  <c r="U8" i="4"/>
  <c r="AO6" i="8" l="1"/>
  <c r="AO3" i="8"/>
  <c r="U4" i="4"/>
  <c r="U3" i="4"/>
  <c r="U5" i="4"/>
  <c r="P14" i="4"/>
  <c r="U19" i="4"/>
  <c r="U17" i="4"/>
  <c r="P13" i="4"/>
  <c r="U14" i="4"/>
  <c r="U12" i="4"/>
  <c r="U16" i="4"/>
  <c r="O13" i="4"/>
  <c r="N13" i="4"/>
  <c r="M13" i="4"/>
  <c r="L13" i="4"/>
  <c r="K13" i="4"/>
  <c r="J13" i="4"/>
  <c r="I13" i="4"/>
  <c r="U9" i="4"/>
  <c r="T21" i="4"/>
  <c r="E5" i="5"/>
  <c r="E2" i="5"/>
  <c r="S3" i="4" s="1"/>
  <c r="E3" i="5"/>
  <c r="S4" i="4" s="1"/>
  <c r="E4" i="5"/>
  <c r="S5" i="4" s="1"/>
  <c r="E6" i="5"/>
  <c r="E7" i="5"/>
  <c r="S8" i="4" s="1"/>
  <c r="E8" i="5"/>
  <c r="S16" i="4" s="1"/>
  <c r="E9" i="5"/>
  <c r="E10" i="5"/>
  <c r="E11" i="5"/>
  <c r="S19" i="4" s="1"/>
  <c r="T22" i="4"/>
  <c r="T20" i="4"/>
  <c r="T19" i="4"/>
  <c r="T18" i="4"/>
  <c r="T17" i="4"/>
  <c r="T16" i="4"/>
  <c r="T15" i="4"/>
  <c r="T14" i="4"/>
  <c r="T12" i="4"/>
  <c r="T11" i="4"/>
  <c r="T10" i="4"/>
  <c r="T9" i="4"/>
  <c r="T8" i="4"/>
  <c r="T7" i="4"/>
  <c r="T6" i="4"/>
  <c r="T5" i="4"/>
  <c r="T4" i="4"/>
  <c r="T3" i="4"/>
  <c r="M12" i="4"/>
  <c r="I12" i="4"/>
  <c r="AE5" i="4" l="1"/>
  <c r="AD5" i="4"/>
  <c r="AC5" i="4"/>
  <c r="Z5" i="4"/>
  <c r="Y5" i="4"/>
  <c r="X5" i="4"/>
  <c r="AE4" i="4"/>
  <c r="AD4" i="4"/>
  <c r="AC4" i="4"/>
  <c r="Z4" i="4"/>
  <c r="Y4" i="4"/>
  <c r="AI4" i="4" s="1"/>
  <c r="X4" i="4"/>
  <c r="AE3" i="4"/>
  <c r="AD3" i="4"/>
  <c r="AC3" i="4"/>
  <c r="Z3" i="4"/>
  <c r="Y3" i="4"/>
  <c r="X3" i="4"/>
  <c r="AE19" i="4"/>
  <c r="AD19" i="4"/>
  <c r="AC19" i="4"/>
  <c r="Z19" i="4"/>
  <c r="Y19" i="4"/>
  <c r="X19" i="4"/>
  <c r="S11" i="4"/>
  <c r="S22" i="4"/>
  <c r="S12" i="4"/>
  <c r="S14" i="4"/>
  <c r="S17" i="4"/>
  <c r="AE16" i="4"/>
  <c r="AD16" i="4"/>
  <c r="AC16" i="4"/>
  <c r="AF16" i="4" s="1"/>
  <c r="Z16" i="4"/>
  <c r="Y16" i="4"/>
  <c r="X16" i="4"/>
  <c r="S6" i="4"/>
  <c r="S7" i="4"/>
  <c r="S9" i="4"/>
  <c r="S10" i="4"/>
  <c r="S15" i="4"/>
  <c r="S18" i="4"/>
  <c r="S20" i="4"/>
  <c r="S21" i="4"/>
  <c r="AE8" i="4"/>
  <c r="AD8" i="4"/>
  <c r="AC8" i="4"/>
  <c r="AF8" i="4" s="1"/>
  <c r="Z8" i="4"/>
  <c r="AJ8" i="4" s="1"/>
  <c r="Y8" i="4"/>
  <c r="AI8" i="4" s="1"/>
  <c r="X8" i="4"/>
  <c r="AJ4" i="4" l="1"/>
  <c r="AF4" i="4"/>
  <c r="AI19" i="4"/>
  <c r="AF19" i="4"/>
  <c r="AI5" i="4"/>
  <c r="AJ19" i="4"/>
  <c r="AJ16" i="4"/>
  <c r="AA8" i="4"/>
  <c r="AH8" i="4"/>
  <c r="AK8" i="4" s="1"/>
  <c r="AI3" i="4"/>
  <c r="AH4" i="4"/>
  <c r="AA4" i="4"/>
  <c r="AA19" i="4"/>
  <c r="AH19" i="4"/>
  <c r="AJ5" i="4"/>
  <c r="AJ3" i="4"/>
  <c r="AA5" i="4"/>
  <c r="AH5" i="4"/>
  <c r="AH16" i="4"/>
  <c r="AA16" i="4"/>
  <c r="AF5" i="4"/>
  <c r="AF3" i="4"/>
  <c r="AI16" i="4"/>
  <c r="AH3" i="4"/>
  <c r="AA3" i="4"/>
  <c r="AE21" i="4"/>
  <c r="AD21" i="4"/>
  <c r="AC21" i="4"/>
  <c r="AF21" i="4" s="1"/>
  <c r="Z21" i="4"/>
  <c r="AJ21" i="4" s="1"/>
  <c r="Y21" i="4"/>
  <c r="AI21" i="4" s="1"/>
  <c r="X21" i="4"/>
  <c r="AE20" i="4"/>
  <c r="AD20" i="4"/>
  <c r="AC20" i="4"/>
  <c r="Z20" i="4"/>
  <c r="Y20" i="4"/>
  <c r="X20" i="4"/>
  <c r="AE18" i="4"/>
  <c r="AD18" i="4"/>
  <c r="AC18" i="4"/>
  <c r="Z18" i="4"/>
  <c r="Y18" i="4"/>
  <c r="X18" i="4"/>
  <c r="AE15" i="4"/>
  <c r="AD15" i="4"/>
  <c r="AC15" i="4"/>
  <c r="Z15" i="4"/>
  <c r="Y15" i="4"/>
  <c r="X15" i="4"/>
  <c r="AE10" i="4"/>
  <c r="AD10" i="4"/>
  <c r="AC10" i="4"/>
  <c r="Z10" i="4"/>
  <c r="Y10" i="4"/>
  <c r="X10" i="4"/>
  <c r="AE9" i="4"/>
  <c r="AD9" i="4"/>
  <c r="AC9" i="4"/>
  <c r="Z9" i="4"/>
  <c r="Y9" i="4"/>
  <c r="AI9" i="4" s="1"/>
  <c r="X9" i="4"/>
  <c r="AE17" i="4"/>
  <c r="AD17" i="4"/>
  <c r="AC17" i="4"/>
  <c r="AF17" i="4" s="1"/>
  <c r="Z17" i="4"/>
  <c r="Y17" i="4"/>
  <c r="X17" i="4"/>
  <c r="AE14" i="4"/>
  <c r="AD14" i="4"/>
  <c r="AC14" i="4"/>
  <c r="Z14" i="4"/>
  <c r="Y14" i="4"/>
  <c r="X14" i="4"/>
  <c r="AE12" i="4"/>
  <c r="AD12" i="4"/>
  <c r="AC12" i="4"/>
  <c r="Z12" i="4"/>
  <c r="Y12" i="4"/>
  <c r="X12" i="4"/>
  <c r="AE22" i="4"/>
  <c r="AD22" i="4"/>
  <c r="AC22" i="4"/>
  <c r="Z22" i="4"/>
  <c r="Y22" i="4"/>
  <c r="X22" i="4"/>
  <c r="AE11" i="4"/>
  <c r="AD11" i="4"/>
  <c r="AC11" i="4"/>
  <c r="Z11" i="4"/>
  <c r="Y11" i="4"/>
  <c r="X11" i="4"/>
  <c r="AD6" i="4"/>
  <c r="AC6" i="4"/>
  <c r="Z6" i="4"/>
  <c r="Y6" i="4"/>
  <c r="AI6" i="4" s="1"/>
  <c r="X6" i="4"/>
  <c r="AE6" i="4"/>
  <c r="AE7" i="4"/>
  <c r="AD7" i="4"/>
  <c r="AC7" i="4"/>
  <c r="Z7" i="4"/>
  <c r="Y7" i="4"/>
  <c r="X7" i="4"/>
  <c r="AI15" i="4" l="1"/>
  <c r="AJ15" i="4"/>
  <c r="AF15" i="4"/>
  <c r="AJ12" i="4"/>
  <c r="AF7" i="4"/>
  <c r="AF10" i="4"/>
  <c r="AI12" i="4"/>
  <c r="AK5" i="4"/>
  <c r="AJ17" i="4"/>
  <c r="AK4" i="4"/>
  <c r="AJ7" i="4"/>
  <c r="AJ10" i="4"/>
  <c r="AF12" i="4"/>
  <c r="AF14" i="4"/>
  <c r="AI10" i="4"/>
  <c r="AK19" i="4"/>
  <c r="AI7" i="4"/>
  <c r="AK16" i="4"/>
  <c r="AI11" i="4"/>
  <c r="AI18" i="4"/>
  <c r="AJ9" i="4"/>
  <c r="AF9" i="4"/>
  <c r="AJ11" i="4"/>
  <c r="AJ18" i="4"/>
  <c r="AI14" i="4"/>
  <c r="AJ14" i="4"/>
  <c r="AH6" i="4"/>
  <c r="AA6" i="4"/>
  <c r="AJ6" i="4"/>
  <c r="AA9" i="4"/>
  <c r="AH9" i="4"/>
  <c r="AA18" i="4"/>
  <c r="AH18" i="4"/>
  <c r="AF11" i="4"/>
  <c r="AF18" i="4"/>
  <c r="AH12" i="4"/>
  <c r="AA12" i="4"/>
  <c r="AA11" i="4"/>
  <c r="AH11" i="4"/>
  <c r="AH14" i="4"/>
  <c r="AA14" i="4"/>
  <c r="AA22" i="4"/>
  <c r="AH22" i="4"/>
  <c r="AH20" i="4"/>
  <c r="AA20" i="4"/>
  <c r="AF6" i="4"/>
  <c r="AK3" i="4"/>
  <c r="AI22" i="4"/>
  <c r="AJ22" i="4"/>
  <c r="AA17" i="4"/>
  <c r="AH17" i="4"/>
  <c r="AJ20" i="4"/>
  <c r="AH15" i="4"/>
  <c r="AK15" i="4" s="1"/>
  <c r="AA15" i="4"/>
  <c r="AH21" i="4"/>
  <c r="AK21" i="4" s="1"/>
  <c r="AA21" i="4"/>
  <c r="AH7" i="4"/>
  <c r="AA7" i="4"/>
  <c r="AA10" i="4"/>
  <c r="AH10" i="4"/>
  <c r="AI20" i="4"/>
  <c r="AF22" i="4"/>
  <c r="AI17" i="4"/>
  <c r="AF20" i="4"/>
  <c r="AK12" i="4" l="1"/>
  <c r="AK11" i="4"/>
  <c r="AK10" i="4"/>
  <c r="AK6" i="4"/>
  <c r="AK9" i="4"/>
  <c r="AK18" i="4"/>
  <c r="AK7" i="4"/>
  <c r="AK17" i="4"/>
  <c r="AK14" i="4"/>
  <c r="AK20" i="4"/>
  <c r="AK22" i="4"/>
</calcChain>
</file>

<file path=xl/sharedStrings.xml><?xml version="1.0" encoding="utf-8"?>
<sst xmlns="http://schemas.openxmlformats.org/spreadsheetml/2006/main" count="386" uniqueCount="140">
  <si>
    <t>Note benefits are gross and in 2023/24 prices</t>
  </si>
  <si>
    <t>Y1 Achievements</t>
  </si>
  <si>
    <t>Y2 Change</t>
  </si>
  <si>
    <t>Conversion Factor</t>
  </si>
  <si>
    <t>ED2 To-Date</t>
  </si>
  <si>
    <t>Activity</t>
  </si>
  <si>
    <t>Stakeholder</t>
  </si>
  <si>
    <t>Direct?</t>
  </si>
  <si>
    <t>Benefits Realised?</t>
  </si>
  <si>
    <t>Benefits Unlocked?</t>
  </si>
  <si>
    <t>Benefits Ambition?</t>
  </si>
  <si>
    <t>2023/24</t>
  </si>
  <si>
    <t>2024/25</t>
  </si>
  <si>
    <t>2025/26</t>
  </si>
  <si>
    <t>2026/27</t>
  </si>
  <si>
    <t>2027/28</t>
  </si>
  <si>
    <t>Activity Units</t>
  </si>
  <si>
    <t>Source</t>
  </si>
  <si>
    <t>Value</t>
  </si>
  <si>
    <t>Units</t>
  </si>
  <si>
    <t>Adjustment Factor 1</t>
  </si>
  <si>
    <t>Notes</t>
  </si>
  <si>
    <t>Adjustment Factor 2</t>
  </si>
  <si>
    <r>
      <t>2023/24 (ktCO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e)</t>
    </r>
  </si>
  <si>
    <t>2024/25 (ktCO2e)</t>
  </si>
  <si>
    <t>2025/26 (ktCO2e)</t>
  </si>
  <si>
    <t>2026/27 (ktCO2e)</t>
  </si>
  <si>
    <t>2027/28 (ktCO2e)</t>
  </si>
  <si>
    <t>ED2 Total (ktCO2e)</t>
  </si>
  <si>
    <t>Technical Limits - Realised</t>
  </si>
  <si>
    <t>GB consumers</t>
  </si>
  <si>
    <t>Indirect</t>
  </si>
  <si>
    <t>Yes</t>
  </si>
  <si>
    <t>N/A</t>
  </si>
  <si>
    <t>MW 
(Cumulative Connected Capacity)</t>
  </si>
  <si>
    <t>HM Treasury Green Book Table 1</t>
  </si>
  <si>
    <t>See 'Carbon Conversion Factors' worksheet</t>
  </si>
  <si>
    <r>
      <t>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e/kWh</t>
    </r>
  </si>
  <si>
    <t>10% Capacity Factor
8760 hours per year
Converting kg to kt and MWh to kWh</t>
  </si>
  <si>
    <t>Technical Limits - Unlocked</t>
  </si>
  <si>
    <t>Curtailable Connections - Unlocked</t>
  </si>
  <si>
    <t xml:space="preserve">No </t>
  </si>
  <si>
    <t>Market Gateway facilitating low-carbon Flexibility - Realised</t>
  </si>
  <si>
    <t>MWh 
(Delivered Flexibility)</t>
  </si>
  <si>
    <r>
      <t xml:space="preserve">HMT Treasury Green Book Table 2a, with 32% efficiency assumed </t>
    </r>
    <r>
      <rPr>
        <b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
HMT Treasury Green Book Table 1</t>
    </r>
  </si>
  <si>
    <t>kgCO2e/kWh</t>
  </si>
  <si>
    <t>Converting MWh to kWh</t>
  </si>
  <si>
    <t>Converting kg to kt</t>
  </si>
  <si>
    <r>
      <t>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
(Delivered  Emissions)</t>
    </r>
  </si>
  <si>
    <t>No conversion needed</t>
  </si>
  <si>
    <t>Year</t>
  </si>
  <si>
    <r>
      <t>HM Treasury Green Book Table 1 Marginal Electricity Carbon Intensity Generation-Based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e/kWh)</t>
    </r>
  </si>
  <si>
    <t>HM Treasury Green Book Table 1 Marginal Electricity Carbon Intensity Demand-Average (kgCO2e/kWh)</t>
  </si>
  <si>
    <r>
      <t>Electricity from gas Carbon Intensity (HMT Green Book Table 2a with 32% efficiency)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e/kWh)</t>
    </r>
  </si>
  <si>
    <r>
      <t>Electricity from gas minus Marginal Grid Intensity (kgCO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e/kWh)</t>
    </r>
  </si>
  <si>
    <t>Note benefits are gross and in 2023/24 prices, except for 'Uprating on replacement driven by asset condition', which is a net present value in 2023/24 prices.</t>
  </si>
  <si>
    <t>Direct Benefit?</t>
  </si>
  <si>
    <t>Realised Activity</t>
  </si>
  <si>
    <t>Unlocked Activity</t>
  </si>
  <si>
    <t>Ambition Activity</t>
  </si>
  <si>
    <t>Adjustment Factor</t>
  </si>
  <si>
    <t>Realised Benefit (£m)</t>
  </si>
  <si>
    <t>Unlocked Benefit (£m)</t>
  </si>
  <si>
    <t>Ambition Benefit (£m)</t>
  </si>
  <si>
    <t>Total Benefit (£m)</t>
  </si>
  <si>
    <t>LAs being supported to create LAEPs - Reduced Effort</t>
  </si>
  <si>
    <t>LA</t>
  </si>
  <si>
    <t>Direct</t>
  </si>
  <si>
    <t>LAEPs</t>
  </si>
  <si>
    <t>Sia Analysis - LAEP Reduced Effort</t>
  </si>
  <si>
    <t>Success: 100%
Deadweight: 0%
Attribution: 100%
Optimism Bias: 15%
Years: 1</t>
  </si>
  <si>
    <t>LAs being supported to create LAEPs - Societal Benefits</t>
  </si>
  <si>
    <t>Sia Analysis  - LAEP Societal Benefit</t>
  </si>
  <si>
    <t>Success: 90%
Deadweight: 20%
Attribution: 1%
Optimism Bias: 40%
Years: 5</t>
  </si>
  <si>
    <t>LAs being supported with other decarbonisation initatives - Reduced Effort</t>
  </si>
  <si>
    <t>Initiatives</t>
  </si>
  <si>
    <t>Sia Analysis - Other Initiatives Reduced Effort</t>
  </si>
  <si>
    <t>Success: 100%
Deadweight: 0%
Attribution: 100%
Optimism Bias: 0%
Years: 1</t>
  </si>
  <si>
    <t>DNOA process: DNOA outcomes recommending Flexibility – Capacity added</t>
  </si>
  <si>
    <t>NGED consumers</t>
  </si>
  <si>
    <t>MVA</t>
  </si>
  <si>
    <t>NERA Report- Demand Capacity</t>
  </si>
  <si>
    <t>Assuming 90% of dispatched Flex is useful in real-time</t>
  </si>
  <si>
    <t>DNOA process: Capacity added by Primary Reinforcement - Demand</t>
  </si>
  <si>
    <t>3 years of acceleration
56% average utilisation</t>
  </si>
  <si>
    <t>DNOA process: Capacity added by Primary Reinforcement - Generation</t>
  </si>
  <si>
    <t>NERA Report- Generation Capacity</t>
  </si>
  <si>
    <t>DNOA process: Capacity added by Secondary Reinforcement</t>
  </si>
  <si>
    <t>1 year of acceleration
40% average utilisation</t>
  </si>
  <si>
    <t>Uprating on replacement driven by Asset Condition</t>
  </si>
  <si>
    <t>£m</t>
  </si>
  <si>
    <t>Calculated using Common Evaluation Methodology</t>
  </si>
  <si>
    <t>DNOA process: DNOA outcomes recommending operational mitigations</t>
  </si>
  <si>
    <t>Totex Incentive Mechanism Sharing Factor</t>
  </si>
  <si>
    <t>Technical Limits</t>
  </si>
  <si>
    <t>MW</t>
  </si>
  <si>
    <t>Headroom Project</t>
  </si>
  <si>
    <t>10% Capacity Factor
8760 hours per year
Conversion from £ to £m</t>
  </si>
  <si>
    <t>Average years</t>
  </si>
  <si>
    <t>MW Dispatch</t>
  </si>
  <si>
    <t>Enhanced queue management process</t>
  </si>
  <si>
    <t>DER</t>
  </si>
  <si>
    <t>Enhanced outage planning process</t>
  </si>
  <si>
    <t>GWh</t>
  </si>
  <si>
    <t>NERA Report- Generation Output</t>
  </si>
  <si>
    <t>15% Capacity Factor
Conversion from £/MWh to £m/GWh</t>
  </si>
  <si>
    <t>Curtailable Connections</t>
  </si>
  <si>
    <t>10% Capacity Factor
8760 hours per year
1 year of acceleration
Conversion from £ to £m</t>
  </si>
  <si>
    <t>Flexibility procurement</t>
  </si>
  <si>
    <t>FSPs</t>
  </si>
  <si>
    <t>Market Gateway facilitating low-carbon Flexibility</t>
  </si>
  <si>
    <t>tCO2e</t>
  </si>
  <si>
    <t>HMT Green Book Table 3 Central Estimate</t>
  </si>
  <si>
    <t>Conversion from £ to £m</t>
  </si>
  <si>
    <t>Demand Turn-Up/Generation Turn-Down trial</t>
  </si>
  <si>
    <t>DNOA process: Reinforcement deferral - Excluded from ED2 Business Plan</t>
  </si>
  <si>
    <t>DNOA process: Reinforcement deferral - Included in ED2 Business Plan</t>
  </si>
  <si>
    <t>Analysis</t>
  </si>
  <si>
    <t>Price Base</t>
  </si>
  <si>
    <t>2023/24 Value</t>
  </si>
  <si>
    <t>£m/LAEP</t>
  </si>
  <si>
    <t>£m/Initiative</t>
  </si>
  <si>
    <t>£m/MVA/year</t>
  </si>
  <si>
    <t>£/MWh</t>
  </si>
  <si>
    <t>£/tCO2e</t>
  </si>
  <si>
    <t>Column1</t>
  </si>
  <si>
    <t>Fully quantified</t>
  </si>
  <si>
    <t>Domestic Customers</t>
  </si>
  <si>
    <t>Quantified, need Sia review</t>
  </si>
  <si>
    <t>Commercial &amp; Industrial Customers</t>
  </si>
  <si>
    <t>Partially</t>
  </si>
  <si>
    <t>Methodology developed</t>
  </si>
  <si>
    <t>FSPs and Aggregators</t>
  </si>
  <si>
    <t>Not decided yet</t>
  </si>
  <si>
    <t>Not yet confirmed</t>
  </si>
  <si>
    <t>Data received, Methodology next</t>
  </si>
  <si>
    <t>NESO</t>
  </si>
  <si>
    <t>Not quantified yet</t>
  </si>
  <si>
    <t>No plans to quantify</t>
  </si>
  <si>
    <t>Local Authorities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</si>
</sst>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_ ;[Red]\-0.0\ "/>
    <numFmt numFmtId="166" formatCode="0.000"/>
    <numFmt numFmtId="167" formatCode="0_ ;[Red]\-0\ "/>
    <numFmt numFmtId="168" formatCode="0.000000"/>
    <numFmt numFmtId="169" formatCode="0.00000"/>
    <numFmt numFmtId="170" formatCode="0.00_ ;[Red]\-0.00\ "/>
    <numFmt numFmtId="171" formatCode="0.000000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8" xfId="0" applyFill="1" applyBorder="1"/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7" fontId="2" fillId="0" borderId="17" xfId="0" applyNumberFormat="1" applyFont="1" applyBorder="1" applyAlignment="1">
      <alignment horizontal="center" vertical="center" wrapText="1"/>
    </xf>
    <xf numFmtId="167" fontId="2" fillId="0" borderId="15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164" fontId="0" fillId="0" borderId="35" xfId="0" applyNumberFormat="1" applyBorder="1" applyAlignment="1">
      <alignment horizontal="center" vertical="center" wrapText="1"/>
    </xf>
    <xf numFmtId="166" fontId="0" fillId="0" borderId="34" xfId="0" applyNumberFormat="1" applyBorder="1" applyAlignment="1">
      <alignment horizontal="center" vertical="center" wrapText="1"/>
    </xf>
    <xf numFmtId="166" fontId="0" fillId="0" borderId="35" xfId="0" applyNumberForma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167" fontId="2" fillId="0" borderId="18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2" fontId="0" fillId="0" borderId="43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9" fontId="0" fillId="0" borderId="35" xfId="0" applyNumberFormat="1" applyBorder="1" applyAlignment="1">
      <alignment horizontal="center" vertical="center" wrapText="1"/>
    </xf>
    <xf numFmtId="9" fontId="0" fillId="0" borderId="36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34" xfId="0" applyNumberFormat="1" applyBorder="1" applyAlignment="1">
      <alignment horizontal="center" vertical="center" wrapText="1"/>
    </xf>
    <xf numFmtId="9" fontId="0" fillId="0" borderId="34" xfId="0" applyNumberFormat="1" applyBorder="1" applyAlignment="1">
      <alignment horizontal="center" vertical="center" wrapText="1"/>
    </xf>
    <xf numFmtId="1" fontId="0" fillId="0" borderId="35" xfId="0" applyNumberForma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 wrapText="1"/>
    </xf>
    <xf numFmtId="170" fontId="2" fillId="0" borderId="18" xfId="0" applyNumberFormat="1" applyFont="1" applyBorder="1" applyAlignment="1">
      <alignment horizontal="center" vertical="center" wrapText="1"/>
    </xf>
    <xf numFmtId="170" fontId="2" fillId="0" borderId="11" xfId="0" applyNumberFormat="1" applyFont="1" applyBorder="1" applyAlignment="1">
      <alignment horizontal="center" vertical="center" wrapText="1"/>
    </xf>
    <xf numFmtId="170" fontId="2" fillId="0" borderId="17" xfId="0" applyNumberFormat="1" applyFont="1" applyBorder="1" applyAlignment="1">
      <alignment horizontal="center" vertical="center" wrapText="1"/>
    </xf>
    <xf numFmtId="170" fontId="2" fillId="0" borderId="15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60" xfId="0" applyNumberFormat="1" applyBorder="1" applyAlignment="1">
      <alignment horizontal="center" vertical="center" wrapText="1"/>
    </xf>
    <xf numFmtId="164" fontId="0" fillId="0" borderId="61" xfId="0" applyNumberFormat="1" applyBorder="1" applyAlignment="1">
      <alignment horizontal="center" vertical="center" wrapText="1"/>
    </xf>
    <xf numFmtId="164" fontId="0" fillId="0" borderId="62" xfId="0" applyNumberForma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2" fontId="0" fillId="0" borderId="51" xfId="0" applyNumberFormat="1" applyBorder="1" applyAlignment="1">
      <alignment horizontal="center" vertical="center" wrapText="1"/>
    </xf>
    <xf numFmtId="166" fontId="0" fillId="0" borderId="51" xfId="0" applyNumberFormat="1" applyBorder="1" applyAlignment="1">
      <alignment horizontal="center" vertical="center" wrapText="1"/>
    </xf>
    <xf numFmtId="169" fontId="0" fillId="0" borderId="51" xfId="0" applyNumberFormat="1" applyBorder="1" applyAlignment="1">
      <alignment horizontal="center" vertical="center" wrapText="1"/>
    </xf>
    <xf numFmtId="2" fontId="0" fillId="0" borderId="53" xfId="0" applyNumberForma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164" fontId="1" fillId="0" borderId="67" xfId="0" applyNumberFormat="1" applyFont="1" applyBorder="1" applyAlignment="1">
      <alignment horizontal="center" vertical="center" wrapText="1"/>
    </xf>
    <xf numFmtId="164" fontId="0" fillId="0" borderId="69" xfId="0" applyNumberForma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8" fontId="0" fillId="0" borderId="51" xfId="0" applyNumberForma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1" fontId="0" fillId="0" borderId="92" xfId="0" applyNumberFormat="1" applyBorder="1" applyAlignment="1">
      <alignment horizontal="center"/>
    </xf>
    <xf numFmtId="1" fontId="0" fillId="0" borderId="56" xfId="0" applyNumberForma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1" fontId="0" fillId="0" borderId="93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75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1" fontId="0" fillId="0" borderId="95" xfId="0" applyNumberFormat="1" applyBorder="1" applyAlignment="1">
      <alignment horizontal="center"/>
    </xf>
    <xf numFmtId="0" fontId="0" fillId="0" borderId="7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5" xfId="0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9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65" xfId="0" applyBorder="1" applyAlignment="1">
      <alignment horizontal="center" vertical="center" wrapText="1"/>
    </xf>
    <xf numFmtId="1" fontId="0" fillId="0" borderId="98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99" xfId="0" applyNumberFormat="1" applyBorder="1" applyAlignment="1">
      <alignment horizontal="center" vertical="center"/>
    </xf>
    <xf numFmtId="1" fontId="0" fillId="0" borderId="97" xfId="0" applyNumberFormat="1" applyBorder="1" applyAlignment="1">
      <alignment horizontal="center" vertical="center"/>
    </xf>
    <xf numFmtId="1" fontId="0" fillId="0" borderId="100" xfId="0" applyNumberFormat="1" applyBorder="1" applyAlignment="1">
      <alignment horizontal="center" vertical="center"/>
    </xf>
    <xf numFmtId="1" fontId="0" fillId="0" borderId="74" xfId="0" applyNumberFormat="1" applyBorder="1" applyAlignment="1">
      <alignment horizontal="center" vertical="center"/>
    </xf>
    <xf numFmtId="1" fontId="0" fillId="0" borderId="61" xfId="0" applyNumberFormat="1" applyBorder="1" applyAlignment="1">
      <alignment horizontal="center" vertical="center"/>
    </xf>
    <xf numFmtId="1" fontId="0" fillId="0" borderId="62" xfId="0" applyNumberFormat="1" applyBorder="1" applyAlignment="1">
      <alignment horizontal="center" vertical="center"/>
    </xf>
    <xf numFmtId="1" fontId="0" fillId="0" borderId="60" xfId="0" applyNumberFormat="1" applyBorder="1" applyAlignment="1">
      <alignment horizontal="center" vertical="center"/>
    </xf>
    <xf numFmtId="1" fontId="0" fillId="0" borderId="91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55" xfId="0" applyNumberFormat="1" applyBorder="1" applyAlignment="1">
      <alignment horizontal="center" vertical="center"/>
    </xf>
    <xf numFmtId="164" fontId="0" fillId="0" borderId="56" xfId="0" applyNumberFormat="1" applyBorder="1" applyAlignment="1">
      <alignment horizontal="center" vertical="center"/>
    </xf>
    <xf numFmtId="164" fontId="0" fillId="0" borderId="57" xfId="0" applyNumberFormat="1" applyBorder="1" applyAlignment="1">
      <alignment horizontal="center" vertical="center"/>
    </xf>
    <xf numFmtId="164" fontId="0" fillId="0" borderId="58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59" xfId="0" applyNumberFormat="1" applyBorder="1" applyAlignment="1">
      <alignment horizontal="center" vertical="center"/>
    </xf>
    <xf numFmtId="1" fontId="0" fillId="0" borderId="69" xfId="0" applyNumberFormat="1" applyBorder="1" applyAlignment="1">
      <alignment horizontal="center" vertical="center" wrapText="1"/>
    </xf>
    <xf numFmtId="1" fontId="0" fillId="0" borderId="0" xfId="0" applyNumberFormat="1" applyAlignment="1">
      <alignment vertical="center" wrapText="1"/>
    </xf>
    <xf numFmtId="166" fontId="0" fillId="0" borderId="1" xfId="0" applyNumberFormat="1" applyBorder="1" applyAlignment="1">
      <alignment horizontal="center" vertical="center" wrapText="1"/>
    </xf>
    <xf numFmtId="9" fontId="0" fillId="0" borderId="61" xfId="0" applyNumberFormat="1" applyBorder="1" applyAlignment="1">
      <alignment horizontal="center" vertical="center" wrapText="1"/>
    </xf>
    <xf numFmtId="1" fontId="0" fillId="0" borderId="90" xfId="0" applyNumberFormat="1" applyBorder="1" applyAlignment="1">
      <alignment horizontal="center" vertical="center" wrapText="1"/>
    </xf>
    <xf numFmtId="0" fontId="5" fillId="0" borderId="61" xfId="0" applyFont="1" applyBorder="1" applyAlignment="1">
      <alignment wrapText="1"/>
    </xf>
    <xf numFmtId="1" fontId="0" fillId="0" borderId="91" xfId="0" applyNumberForma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96" xfId="0" applyFont="1" applyBorder="1" applyAlignment="1">
      <alignment horizontal="center" vertical="center" wrapText="1"/>
    </xf>
    <xf numFmtId="0" fontId="1" fillId="0" borderId="86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0" fillId="0" borderId="58" xfId="0" applyBorder="1" applyAlignment="1">
      <alignment horizontal="center" wrapText="1"/>
    </xf>
    <xf numFmtId="164" fontId="0" fillId="0" borderId="68" xfId="0" applyNumberFormat="1" applyBorder="1" applyAlignment="1">
      <alignment horizontal="center" vertical="center" wrapText="1"/>
    </xf>
    <xf numFmtId="164" fontId="0" fillId="0" borderId="59" xfId="0" applyNumberFormat="1" applyBorder="1" applyAlignment="1">
      <alignment horizontal="center" vertical="center" wrapText="1"/>
    </xf>
    <xf numFmtId="164" fontId="0" fillId="0" borderId="58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6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3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109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59" xfId="0" applyBorder="1" applyAlignment="1">
      <alignment horizontal="center"/>
    </xf>
    <xf numFmtId="0" fontId="1" fillId="0" borderId="82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17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164" fontId="0" fillId="0" borderId="97" xfId="0" applyNumberFormat="1" applyBorder="1" applyAlignment="1">
      <alignment horizontal="center" vertical="center"/>
    </xf>
    <xf numFmtId="164" fontId="0" fillId="0" borderId="8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84" xfId="0" applyNumberFormat="1" applyBorder="1" applyAlignment="1">
      <alignment horizontal="center" vertical="center"/>
    </xf>
    <xf numFmtId="164" fontId="0" fillId="0" borderId="99" xfId="0" applyNumberFormat="1" applyBorder="1" applyAlignment="1">
      <alignment horizontal="center" vertical="center"/>
    </xf>
    <xf numFmtId="164" fontId="0" fillId="0" borderId="85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0" fillId="0" borderId="102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12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1" fontId="0" fillId="0" borderId="55" xfId="0" applyNumberFormat="1" applyBorder="1" applyAlignment="1">
      <alignment horizontal="center" vertical="center" wrapText="1"/>
    </xf>
    <xf numFmtId="1" fontId="0" fillId="0" borderId="58" xfId="0" applyNumberFormat="1" applyBorder="1" applyAlignment="1">
      <alignment horizontal="center" vertical="center" wrapText="1"/>
    </xf>
    <xf numFmtId="1" fontId="0" fillId="0" borderId="56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93" xfId="0" applyNumberFormat="1" applyBorder="1" applyAlignment="1">
      <alignment horizontal="center" vertical="center" wrapText="1"/>
    </xf>
    <xf numFmtId="1" fontId="0" fillId="0" borderId="90" xfId="0" applyNumberForma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8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3" borderId="99" xfId="0" applyFill="1" applyBorder="1" applyAlignment="1">
      <alignment horizontal="center" vertical="center" wrapText="1"/>
    </xf>
    <xf numFmtId="0" fontId="0" fillId="3" borderId="85" xfId="0" applyFill="1" applyBorder="1" applyAlignment="1">
      <alignment horizontal="center" vertical="center" wrapText="1"/>
    </xf>
    <xf numFmtId="0" fontId="0" fillId="0" borderId="99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0" fillId="0" borderId="42" xfId="0" applyNumberFormat="1" applyBorder="1" applyAlignment="1">
      <alignment horizontal="center" vertical="center" wrapText="1"/>
    </xf>
    <xf numFmtId="1" fontId="0" fillId="0" borderId="23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8" fontId="0" fillId="0" borderId="51" xfId="0" applyNumberForma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165" fontId="0" fillId="0" borderId="25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166" fontId="0" fillId="0" borderId="17" xfId="0" applyNumberFormat="1" applyBorder="1" applyAlignment="1">
      <alignment horizontal="center" vertical="center" wrapText="1"/>
    </xf>
    <xf numFmtId="166" fontId="0" fillId="0" borderId="18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0" borderId="68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164" fontId="0" fillId="0" borderId="59" xfId="0" applyNumberFormat="1" applyBorder="1" applyAlignment="1">
      <alignment horizontal="center" vertical="center" wrapText="1"/>
    </xf>
    <xf numFmtId="164" fontId="0" fillId="0" borderId="58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65" xfId="0" applyNumberFormat="1" applyBorder="1" applyAlignment="1">
      <alignment horizontal="center" vertical="center"/>
    </xf>
  </cellXfs>
  <cellStyles count="2">
    <cellStyle name="Normal" xfId="0" builtinId="0"/>
    <cellStyle name="Normal 2" xfId="1" xr:uid="{151A6918-0720-4F98-8CC3-4293BF6CC086}"/>
  </cellStyles>
  <dxfs count="22">
    <dxf>
      <alignment horizontal="left"/>
    </dxf>
    <dxf>
      <numFmt numFmtId="166" formatCode="0.000"/>
      <alignment horizontal="left"/>
    </dxf>
    <dxf>
      <alignment horizontal="left"/>
    </dxf>
    <dxf>
      <alignment horizontal="left"/>
    </dxf>
    <dxf>
      <alignment horizontal="left"/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textRotation="0" wrapText="0" indent="0" justifyLastLine="0" shrinkToFit="0" readingOrder="0"/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9BC0D8C-1E82-46EF-853A-75319FC3EDDF}" name="Table7" displayName="Table7" ref="A1:E6" totalsRowShown="0" headerRowDxfId="15" dataDxfId="14">
  <autoFilter ref="A1:E6" xr:uid="{59BC0D8C-1E82-46EF-853A-75319FC3EDDF}"/>
  <tableColumns count="5">
    <tableColumn id="1" xr3:uid="{75B7C150-9E6E-4E20-A648-175A178055F3}" name="Year" dataDxfId="13"/>
    <tableColumn id="4" xr3:uid="{26C841CE-0FB9-41EC-A3AB-BEDB6330F759}" name="HM Treasury Green Book Table 1 Marginal Electricity Carbon Intensity Generation-Based (kgCO2e/kWh)" dataDxfId="12"/>
    <tableColumn id="3" xr3:uid="{7CEA0AD8-7A90-4A88-9FC9-AFF00953E6C6}" name="HM Treasury Green Book Table 1 Marginal Electricity Carbon Intensity Demand-Average (kgCO2e/kWh)" dataDxfId="11"/>
    <tableColumn id="2" xr3:uid="{F63BD824-2096-4432-AA52-0190102CB3F3}" name="Electricity from gas Carbon Intensity (HMT Green Book Table 2a with 32% efficiency) (kgCO2e/kWh)" dataDxfId="10"/>
    <tableColumn id="5" xr3:uid="{35EDE2FF-0CCB-4EA2-98C5-3568A8CB9BC7}" name="Electricity from gas minus Marginal Grid Intensity (kgCO2e/kWh)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36E1938-09AA-4D75-99F0-66C727BDBF8A}" name="Table5" displayName="Table5" ref="A1:F11" totalsRowShown="0">
  <autoFilter ref="A1:F11" xr:uid="{E36E1938-09AA-4D75-99F0-66C727BDBF8A}"/>
  <tableColumns count="6">
    <tableColumn id="1" xr3:uid="{D506A449-6D92-4E99-8101-E3C0CC0B3668}" name="Analysis"/>
    <tableColumn id="2" xr3:uid="{F5A64811-4A1E-4032-B558-E58A5C8039C0}" name="Value" dataDxfId="4"/>
    <tableColumn id="3" xr3:uid="{4037AF18-7A8A-49BC-93B0-D64D52A7BD7D}" name="Price Base" dataDxfId="3"/>
    <tableColumn id="6" xr3:uid="{554CF8D1-028E-4B86-98A9-47281CBC3690}" name="Conversion Factor" dataDxfId="2"/>
    <tableColumn id="4" xr3:uid="{56A0477B-318C-4F31-8812-BF0183F5EADA}" name="2023/24 Value" dataDxfId="1">
      <calculatedColumnFormula>Table5[[#This Row],[Value]]*Table5[[#This Row],[Conversion Factor]]</calculatedColumnFormula>
    </tableColumn>
    <tableColumn id="5" xr3:uid="{AF6E00BF-5B61-4B12-83C1-E8DF29ACCDF4}" name="Units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0553B3-33EB-480A-ABD3-EF543D28648A}" name="Table1" displayName="Table1" ref="A1:A5" totalsRowShown="0">
  <autoFilter ref="A1:A5" xr:uid="{7A0553B3-33EB-480A-ABD3-EF543D28648A}"/>
  <tableColumns count="1">
    <tableColumn id="1" xr3:uid="{31847649-3FD7-4444-9106-76AD39B47283}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69CB79-B473-4F49-AE5E-1D7D51D1B411}" name="Table2" displayName="Table2" ref="C1:C7" totalsRowShown="0">
  <autoFilter ref="C1:C7" xr:uid="{CE69CB79-B473-4F49-AE5E-1D7D51D1B411}"/>
  <tableColumns count="1">
    <tableColumn id="1" xr3:uid="{8E64CBA8-8E8F-4B55-9DB1-13C5DECAE3A2}" name="Column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37DFC8D-B6F6-4BB1-9722-E6F0A0861C9D}" name="Table3" displayName="Table3" ref="E1:E8" totalsRowShown="0">
  <autoFilter ref="E1:E8" xr:uid="{637DFC8D-B6F6-4BB1-9722-E6F0A0861C9D}"/>
  <tableColumns count="1">
    <tableColumn id="1" xr3:uid="{41CE537B-D7C7-4327-BB8D-35A0D44A8538}" name="Column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1911916-6F69-4975-8DBD-ACA8488B22D8}" name="Table4" displayName="Table4" ref="G1:G4" totalsRowShown="0">
  <autoFilter ref="G1:G4" xr:uid="{81911916-6F69-4975-8DBD-ACA8488B22D8}"/>
  <tableColumns count="1">
    <tableColumn id="1" xr3:uid="{CD986948-1368-4BA9-8AFB-73F3F3120739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A15C2-D9E5-41E8-AD08-DDF00E10B240}">
  <dimension ref="C1:AO12"/>
  <sheetViews>
    <sheetView workbookViewId="0">
      <pane xSplit="4" ySplit="2" topLeftCell="X3" activePane="bottomRight" state="frozen"/>
      <selection pane="bottomRight" activeCell="AL12" sqref="AL12"/>
      <selection pane="bottomLeft" activeCell="A3" sqref="A3"/>
      <selection pane="topRight" activeCell="E1" sqref="E1"/>
    </sheetView>
  </sheetViews>
  <sheetFormatPr defaultColWidth="8.85546875" defaultRowHeight="15"/>
  <cols>
    <col min="1" max="2" width="8.85546875" style="91"/>
    <col min="3" max="3" width="25" style="91" customWidth="1"/>
    <col min="4" max="4" width="15.7109375" style="91" bestFit="1" customWidth="1"/>
    <col min="5" max="5" width="15.7109375" style="91" customWidth="1"/>
    <col min="6" max="6" width="9.5703125" style="91" customWidth="1"/>
    <col min="7" max="7" width="10.140625" style="91" customWidth="1"/>
    <col min="8" max="8" width="9.7109375" style="91" customWidth="1"/>
    <col min="9" max="18" width="8.85546875" style="91"/>
    <col min="19" max="19" width="16.28515625" style="91" bestFit="1" customWidth="1"/>
    <col min="20" max="20" width="30.28515625" style="91" bestFit="1" customWidth="1"/>
    <col min="21" max="21" width="15.7109375" style="91" customWidth="1"/>
    <col min="22" max="22" width="13.85546875" style="91" customWidth="1"/>
    <col min="23" max="23" width="19.28515625" style="91" customWidth="1"/>
    <col min="24" max="25" width="18.28515625" style="91" customWidth="1"/>
    <col min="26" max="26" width="10.42578125" style="91" customWidth="1"/>
    <col min="27" max="38" width="8.85546875" style="91"/>
    <col min="39" max="41" width="17.28515625" style="91" bestFit="1" customWidth="1"/>
    <col min="42" max="16384" width="8.85546875" style="91"/>
  </cols>
  <sheetData>
    <row r="1" spans="3:41" ht="15.75" thickBot="1">
      <c r="C1" s="38" t="s">
        <v>0</v>
      </c>
      <c r="I1" s="205" t="s">
        <v>1</v>
      </c>
      <c r="J1" s="206"/>
      <c r="K1" s="206"/>
      <c r="L1" s="206"/>
      <c r="M1" s="207"/>
      <c r="N1" s="205" t="s">
        <v>2</v>
      </c>
      <c r="O1" s="206"/>
      <c r="P1" s="206"/>
      <c r="Q1" s="206"/>
      <c r="R1" s="207"/>
      <c r="T1" s="208" t="s">
        <v>3</v>
      </c>
      <c r="U1" s="209"/>
      <c r="V1" s="210"/>
      <c r="AB1" s="205" t="s">
        <v>1</v>
      </c>
      <c r="AC1" s="206"/>
      <c r="AD1" s="206"/>
      <c r="AE1" s="206"/>
      <c r="AF1" s="207"/>
      <c r="AG1" s="205" t="s">
        <v>2</v>
      </c>
      <c r="AH1" s="206"/>
      <c r="AI1" s="206"/>
      <c r="AJ1" s="206"/>
      <c r="AK1" s="207"/>
      <c r="AM1" s="92" t="s">
        <v>1</v>
      </c>
      <c r="AN1" s="93" t="s">
        <v>2</v>
      </c>
      <c r="AO1" s="94" t="s">
        <v>4</v>
      </c>
    </row>
    <row r="2" spans="3:41" ht="30.6" customHeight="1" thickBot="1">
      <c r="C2" s="150" t="s">
        <v>5</v>
      </c>
      <c r="D2" s="179" t="s">
        <v>6</v>
      </c>
      <c r="E2" s="178" t="s">
        <v>7</v>
      </c>
      <c r="F2" s="16" t="s">
        <v>8</v>
      </c>
      <c r="G2" s="16" t="s">
        <v>9</v>
      </c>
      <c r="H2" s="16" t="s">
        <v>10</v>
      </c>
      <c r="I2" s="144" t="s">
        <v>11</v>
      </c>
      <c r="J2" s="145" t="s">
        <v>12</v>
      </c>
      <c r="K2" s="145" t="s">
        <v>13</v>
      </c>
      <c r="L2" s="145" t="s">
        <v>14</v>
      </c>
      <c r="M2" s="146" t="s">
        <v>15</v>
      </c>
      <c r="N2" s="144" t="s">
        <v>11</v>
      </c>
      <c r="O2" s="145" t="s">
        <v>12</v>
      </c>
      <c r="P2" s="145" t="s">
        <v>13</v>
      </c>
      <c r="Q2" s="145" t="s">
        <v>14</v>
      </c>
      <c r="R2" s="146" t="s">
        <v>15</v>
      </c>
      <c r="S2" s="147" t="s">
        <v>16</v>
      </c>
      <c r="T2" s="64" t="s">
        <v>17</v>
      </c>
      <c r="U2" s="148" t="s">
        <v>18</v>
      </c>
      <c r="V2" s="149" t="s">
        <v>19</v>
      </c>
      <c r="W2" s="73" t="s">
        <v>20</v>
      </c>
      <c r="X2" s="74" t="s">
        <v>21</v>
      </c>
      <c r="Y2" s="74" t="s">
        <v>22</v>
      </c>
      <c r="Z2" s="75" t="s">
        <v>21</v>
      </c>
      <c r="AA2" s="1"/>
      <c r="AB2" s="150" t="s">
        <v>23</v>
      </c>
      <c r="AC2" s="151" t="s">
        <v>24</v>
      </c>
      <c r="AD2" s="151" t="s">
        <v>25</v>
      </c>
      <c r="AE2" s="151" t="s">
        <v>26</v>
      </c>
      <c r="AF2" s="152" t="s">
        <v>27</v>
      </c>
      <c r="AG2" s="153" t="s">
        <v>23</v>
      </c>
      <c r="AH2" s="151" t="s">
        <v>24</v>
      </c>
      <c r="AI2" s="151" t="s">
        <v>25</v>
      </c>
      <c r="AJ2" s="151" t="s">
        <v>26</v>
      </c>
      <c r="AK2" s="152" t="s">
        <v>27</v>
      </c>
      <c r="AL2" s="1"/>
      <c r="AM2" s="154" t="s">
        <v>28</v>
      </c>
      <c r="AN2" s="154" t="s">
        <v>28</v>
      </c>
      <c r="AO2" s="155" t="s">
        <v>28</v>
      </c>
    </row>
    <row r="3" spans="3:41" ht="58.15" customHeight="1">
      <c r="C3" s="104" t="s">
        <v>29</v>
      </c>
      <c r="D3" s="192" t="s">
        <v>30</v>
      </c>
      <c r="E3" s="203" t="s">
        <v>31</v>
      </c>
      <c r="F3" s="194" t="s">
        <v>32</v>
      </c>
      <c r="G3" s="196" t="s">
        <v>32</v>
      </c>
      <c r="H3" s="198" t="s">
        <v>32</v>
      </c>
      <c r="I3" s="95">
        <v>20</v>
      </c>
      <c r="J3" s="96" t="s">
        <v>33</v>
      </c>
      <c r="K3" s="96" t="s">
        <v>33</v>
      </c>
      <c r="L3" s="96" t="s">
        <v>33</v>
      </c>
      <c r="M3" s="97" t="s">
        <v>33</v>
      </c>
      <c r="N3" s="95" t="s">
        <v>33</v>
      </c>
      <c r="O3" s="96">
        <v>20</v>
      </c>
      <c r="P3" s="96" t="s">
        <v>33</v>
      </c>
      <c r="Q3" s="96" t="s">
        <v>33</v>
      </c>
      <c r="R3" s="98" t="s">
        <v>33</v>
      </c>
      <c r="S3" s="200" t="s">
        <v>34</v>
      </c>
      <c r="T3" s="211" t="s">
        <v>35</v>
      </c>
      <c r="U3" s="213" t="s">
        <v>36</v>
      </c>
      <c r="V3" s="215" t="s">
        <v>37</v>
      </c>
      <c r="W3" s="217">
        <f>0.1*8760/1000</f>
        <v>0.876</v>
      </c>
      <c r="X3" s="181" t="s">
        <v>38</v>
      </c>
      <c r="Y3" s="181" t="s">
        <v>33</v>
      </c>
      <c r="Z3" s="182"/>
      <c r="AB3" s="128">
        <f>IFERROR(I3*_xlfn.XLOOKUP(I$2,Table7[Year],Table7[HM Treasury Green Book Table 1 Marginal Electricity Carbon Intensity Generation-Based (kgCO2e/kWh)],,0)*Carbon!$W$3,0)</f>
        <v>3.9604131207126985</v>
      </c>
      <c r="AC3" s="129">
        <f>IFERROR(J3*_xlfn.XLOOKUP(J$2,Table7[Year],Table7[HM Treasury Green Book Table 1 Marginal Electricity Carbon Intensity Generation-Based (kgCO2e/kWh)],,0)*Carbon!$W$3,0)</f>
        <v>0</v>
      </c>
      <c r="AD3" s="129">
        <f>IFERROR(K3*_xlfn.XLOOKUP(K$2,Table7[Year],Table7[HM Treasury Green Book Table 1 Marginal Electricity Carbon Intensity Generation-Based (kgCO2e/kWh)],,0)*Carbon!$W$3,0)</f>
        <v>0</v>
      </c>
      <c r="AE3" s="129">
        <f>IFERROR(L3*_xlfn.XLOOKUP(L$2,Table7[Year],Table7[HM Treasury Green Book Table 1 Marginal Electricity Carbon Intensity Generation-Based (kgCO2e/kWh)],,0)*Carbon!$W$3,0)</f>
        <v>0</v>
      </c>
      <c r="AF3" s="130">
        <f>IFERROR(M3*_xlfn.XLOOKUP(M$2,Table7[Year],Table7[HM Treasury Green Book Table 1 Marginal Electricity Carbon Intensity Generation-Based (kgCO2e/kWh)],,0)*Carbon!$W$3,0)</f>
        <v>0</v>
      </c>
      <c r="AG3" s="128">
        <f>IFERROR(N3*_xlfn.XLOOKUP(N$2,Table7[Year],Table7[HM Treasury Green Book Table 1 Marginal Electricity Carbon Intensity Generation-Based (kgCO2e/kWh)],,0)*Carbon!$W$3,0)</f>
        <v>0</v>
      </c>
      <c r="AH3" s="129">
        <f>IFERROR(O3*_xlfn.XLOOKUP(O$2,Table7[Year],Table7[HM Treasury Green Book Table 1 Marginal Electricity Carbon Intensity Generation-Based (kgCO2e/kWh)],,0)*Carbon!$W$3,0)</f>
        <v>3.6786842421896879</v>
      </c>
      <c r="AI3" s="129">
        <f>IFERROR(P3*_xlfn.XLOOKUP(P$2,Table7[Year],Table7[HM Treasury Green Book Table 1 Marginal Electricity Carbon Intensity Generation-Based (kgCO2e/kWh)],,0)*Carbon!$W$3,0)</f>
        <v>0</v>
      </c>
      <c r="AJ3" s="129">
        <f>IFERROR(Q3*_xlfn.XLOOKUP(Q$2,Table7[Year],Table7[HM Treasury Green Book Table 1 Marginal Electricity Carbon Intensity Generation-Based (kgCO2e/kWh)],,0)*Carbon!$W$3,0)</f>
        <v>0</v>
      </c>
      <c r="AK3" s="130">
        <f>IFERROR(R3*_xlfn.XLOOKUP(R$2,Table7[Year],Table7[HM Treasury Green Book Table 1 Marginal Electricity Carbon Intensity Generation-Based (kgCO2e/kWh)],,0)*Carbon!$W$3,0)</f>
        <v>0</v>
      </c>
      <c r="AL3" s="127"/>
      <c r="AM3" s="128">
        <f>SUM(AB3:AF3)</f>
        <v>3.9604131207126985</v>
      </c>
      <c r="AN3" s="129">
        <f>SUM(AG3:AK3)</f>
        <v>3.6786842421896879</v>
      </c>
      <c r="AO3" s="130">
        <f>SUM(AM3:AN3)</f>
        <v>7.6390973629023868</v>
      </c>
    </row>
    <row r="4" spans="3:41" ht="30">
      <c r="C4" s="156" t="s">
        <v>39</v>
      </c>
      <c r="D4" s="193"/>
      <c r="E4" s="204"/>
      <c r="F4" s="195"/>
      <c r="G4" s="197"/>
      <c r="H4" s="199"/>
      <c r="I4" s="99" t="s">
        <v>33</v>
      </c>
      <c r="J4" s="100" t="s">
        <v>33</v>
      </c>
      <c r="K4" s="100">
        <v>163.14000000000001</v>
      </c>
      <c r="L4" s="100">
        <v>1356.24</v>
      </c>
      <c r="M4" s="101">
        <v>1626.2399999999998</v>
      </c>
      <c r="N4" s="102" t="s">
        <v>33</v>
      </c>
      <c r="O4" s="100" t="s">
        <v>33</v>
      </c>
      <c r="P4" s="100">
        <v>29.04</v>
      </c>
      <c r="Q4" s="100">
        <v>470.54</v>
      </c>
      <c r="R4" s="103">
        <v>1022.6300000000001</v>
      </c>
      <c r="S4" s="201"/>
      <c r="T4" s="212"/>
      <c r="U4" s="214"/>
      <c r="V4" s="216"/>
      <c r="W4" s="217"/>
      <c r="X4" s="181"/>
      <c r="Y4" s="181"/>
      <c r="Z4" s="182"/>
      <c r="AB4" s="131">
        <f>IFERROR(I4*_xlfn.XLOOKUP(I$2,Table7[Year],Table7[HM Treasury Green Book Table 1 Marginal Electricity Carbon Intensity Generation-Based (kgCO2e/kWh)],,0)*Carbon!$W$3,0)</f>
        <v>0</v>
      </c>
      <c r="AC4" s="132">
        <f>IFERROR(J4*_xlfn.XLOOKUP(J$2,Table7[Year],Table7[HM Treasury Green Book Table 1 Marginal Electricity Carbon Intensity Generation-Based (kgCO2e/kWh)],,0)*Carbon!$W$3,0)</f>
        <v>0</v>
      </c>
      <c r="AD4" s="132">
        <f>IFERROR(K4*_xlfn.XLOOKUP(K$2,Table7[Year],Table7[HM Treasury Green Book Table 1 Marginal Electricity Carbon Intensity Generation-Based (kgCO2e/kWh)],,0)*Carbon!$W$3,0)</f>
        <v>27.537959204642295</v>
      </c>
      <c r="AE4" s="132">
        <f>IFERROR(L4*_xlfn.XLOOKUP(L$2,Table7[Year],Table7[HM Treasury Green Book Table 1 Marginal Electricity Carbon Intensity Generation-Based (kgCO2e/kWh)],,0)*Carbon!$W$3,0)</f>
        <v>206.87905976820318</v>
      </c>
      <c r="AF4" s="133">
        <f>IFERROR(M4*_xlfn.XLOOKUP(M$2,Table7[Year],Table7[HM Treasury Green Book Table 1 Marginal Electricity Carbon Intensity Generation-Based (kgCO2e/kWh)],,0)*Carbon!$W$3,0)</f>
        <v>219.65263729798573</v>
      </c>
      <c r="AG4" s="131">
        <f>IFERROR(N4*_xlfn.XLOOKUP(N$2,Table7[Year],Table7[HM Treasury Green Book Table 1 Marginal Electricity Carbon Intensity Generation-Based (kgCO2e/kWh)],,0)*Carbon!$W$3,0)</f>
        <v>0</v>
      </c>
      <c r="AH4" s="132">
        <f>IFERROR(O4*_xlfn.XLOOKUP(O$2,Table7[Year],Table7[HM Treasury Green Book Table 1 Marginal Electricity Carbon Intensity Generation-Based (kgCO2e/kWh)],,0)*Carbon!$W$3,0)</f>
        <v>0</v>
      </c>
      <c r="AI4" s="132">
        <f>IFERROR(P4*_xlfn.XLOOKUP(P$2,Table7[Year],Table7[HM Treasury Green Book Table 1 Marginal Electricity Carbon Intensity Generation-Based (kgCO2e/kWh)],,0)*Carbon!$W$3,0)</f>
        <v>4.9019390419444164</v>
      </c>
      <c r="AJ4" s="132">
        <f>IFERROR(Q4*_xlfn.XLOOKUP(Q$2,Table7[Year],Table7[HM Treasury Green Book Table 1 Marginal Electricity Carbon Intensity Generation-Based (kgCO2e/kWh)],,0)*Carbon!$W$3,0)</f>
        <v>71.775550627713628</v>
      </c>
      <c r="AK4" s="133">
        <f>IFERROR(R4*_xlfn.XLOOKUP(R$2,Table7[Year],Table7[HM Treasury Green Book Table 1 Marginal Electricity Carbon Intensity Generation-Based (kgCO2e/kWh)],,0)*Carbon!$W$3,0)</f>
        <v>138.12437062182656</v>
      </c>
      <c r="AL4" s="127"/>
      <c r="AM4" s="131">
        <f t="shared" ref="AM4:AM5" si="0">SUM(AB4:AF4)</f>
        <v>454.06965627083122</v>
      </c>
      <c r="AN4" s="132">
        <f t="shared" ref="AN4:AN5" si="1">SUM(AG4:AK4)</f>
        <v>214.80186029148462</v>
      </c>
      <c r="AO4" s="133">
        <f t="shared" ref="AO4:AO5" si="2">SUM(AM4:AN4)</f>
        <v>668.87151656231583</v>
      </c>
    </row>
    <row r="5" spans="3:41" ht="30">
      <c r="C5" s="156" t="s">
        <v>40</v>
      </c>
      <c r="D5" s="176" t="s">
        <v>30</v>
      </c>
      <c r="E5" s="177" t="s">
        <v>31</v>
      </c>
      <c r="F5" s="175" t="s">
        <v>41</v>
      </c>
      <c r="G5" s="105" t="s">
        <v>32</v>
      </c>
      <c r="H5" s="106" t="s">
        <v>41</v>
      </c>
      <c r="I5" s="107">
        <v>0</v>
      </c>
      <c r="J5" s="108">
        <v>0</v>
      </c>
      <c r="K5" s="108">
        <v>50.9</v>
      </c>
      <c r="L5" s="108">
        <v>257.42</v>
      </c>
      <c r="M5" s="109">
        <v>257.42</v>
      </c>
      <c r="N5" s="110">
        <v>0</v>
      </c>
      <c r="O5" s="108">
        <v>0</v>
      </c>
      <c r="P5" s="108">
        <v>20</v>
      </c>
      <c r="Q5" s="108">
        <v>20</v>
      </c>
      <c r="R5" s="111">
        <v>20</v>
      </c>
      <c r="S5" s="202"/>
      <c r="T5" s="212"/>
      <c r="U5" s="214"/>
      <c r="V5" s="216"/>
      <c r="W5" s="217"/>
      <c r="X5" s="181"/>
      <c r="Y5" s="181"/>
      <c r="Z5" s="182"/>
      <c r="AB5" s="131">
        <f>IFERROR(I5*_xlfn.XLOOKUP(I$2,Table7[Year],Table7[HM Treasury Green Book Table 1 Marginal Electricity Carbon Intensity Generation-Based (kgCO2e/kWh)],,0)*Carbon!$W$3,0)</f>
        <v>0</v>
      </c>
      <c r="AC5" s="132">
        <f>IFERROR(J5*_xlfn.XLOOKUP(J$2,Table7[Year],Table7[HM Treasury Green Book Table 1 Marginal Electricity Carbon Intensity Generation-Based (kgCO2e/kWh)],,0)*Carbon!$W$3,0)</f>
        <v>0</v>
      </c>
      <c r="AD5" s="132">
        <f>IFERROR(K5*_xlfn.XLOOKUP(K$2,Table7[Year],Table7[HM Treasury Green Book Table 1 Marginal Electricity Carbon Intensity Generation-Based (kgCO2e/kWh)],,0)*Carbon!$W$3,0)</f>
        <v>8.5918972877056063</v>
      </c>
      <c r="AE5" s="132">
        <f>IFERROR(L5*_xlfn.XLOOKUP(L$2,Table7[Year],Table7[HM Treasury Green Book Table 1 Marginal Electricity Carbon Intensity Generation-Based (kgCO2e/kWh)],,0)*Carbon!$W$3,0)</f>
        <v>39.266507082471293</v>
      </c>
      <c r="AF5" s="133">
        <f>IFERROR(M5*_xlfn.XLOOKUP(M$2,Table7[Year],Table7[HM Treasury Green Book Table 1 Marginal Electricity Carbon Intensity Generation-Based (kgCO2e/kWh)],,0)*Carbon!$W$3,0)</f>
        <v>34.769149629358211</v>
      </c>
      <c r="AG5" s="131">
        <f>IFERROR(N5*_xlfn.XLOOKUP(N$2,Table7[Year],Table7[HM Treasury Green Book Table 1 Marginal Electricity Carbon Intensity Generation-Based (kgCO2e/kWh)],,0)*Carbon!$W$3,0)</f>
        <v>0</v>
      </c>
      <c r="AH5" s="132">
        <f>IFERROR(O5*_xlfn.XLOOKUP(O$2,Table7[Year],Table7[HM Treasury Green Book Table 1 Marginal Electricity Carbon Intensity Generation-Based (kgCO2e/kWh)],,0)*Carbon!$W$3,0)</f>
        <v>0</v>
      </c>
      <c r="AI5" s="132">
        <f>IFERROR(P5*_xlfn.XLOOKUP(P$2,Table7[Year],Table7[HM Treasury Green Book Table 1 Marginal Electricity Carbon Intensity Generation-Based (kgCO2e/kWh)],,0)*Carbon!$W$3,0)</f>
        <v>3.3759910757192952</v>
      </c>
      <c r="AJ5" s="132">
        <f>IFERROR(Q5*_xlfn.XLOOKUP(Q$2,Table7[Year],Table7[HM Treasury Green Book Table 1 Marginal Electricity Carbon Intensity Generation-Based (kgCO2e/kWh)],,0)*Carbon!$W$3,0)</f>
        <v>3.0507736059724411</v>
      </c>
      <c r="AK5" s="133">
        <f>IFERROR(R5*_xlfn.XLOOKUP(R$2,Table7[Year],Table7[HM Treasury Green Book Table 1 Marginal Electricity Carbon Intensity Generation-Based (kgCO2e/kWh)],,0)*Carbon!$W$3,0)</f>
        <v>2.7013557322164718</v>
      </c>
      <c r="AL5" s="127"/>
      <c r="AM5" s="131">
        <f t="shared" si="0"/>
        <v>82.62755399953511</v>
      </c>
      <c r="AN5" s="132">
        <f t="shared" si="1"/>
        <v>9.1281204139082082</v>
      </c>
      <c r="AO5" s="133">
        <f t="shared" si="2"/>
        <v>91.755674413443316</v>
      </c>
    </row>
    <row r="6" spans="3:41" ht="66.599999999999994" customHeight="1">
      <c r="C6" s="217" t="s">
        <v>42</v>
      </c>
      <c r="D6" s="219" t="s">
        <v>30</v>
      </c>
      <c r="E6" s="227" t="s">
        <v>31</v>
      </c>
      <c r="F6" s="221" t="s">
        <v>32</v>
      </c>
      <c r="G6" s="223" t="s">
        <v>41</v>
      </c>
      <c r="H6" s="225" t="s">
        <v>41</v>
      </c>
      <c r="I6" s="115">
        <v>2320.83</v>
      </c>
      <c r="J6" s="116" t="s">
        <v>33</v>
      </c>
      <c r="K6" s="116" t="s">
        <v>33</v>
      </c>
      <c r="L6" s="116" t="s">
        <v>33</v>
      </c>
      <c r="M6" s="117" t="s">
        <v>33</v>
      </c>
      <c r="N6" s="118" t="s">
        <v>33</v>
      </c>
      <c r="O6" s="161">
        <v>3095.6474949992603</v>
      </c>
      <c r="P6" s="116" t="s">
        <v>33</v>
      </c>
      <c r="Q6" s="116" t="s">
        <v>33</v>
      </c>
      <c r="R6" s="119" t="s">
        <v>33</v>
      </c>
      <c r="S6" s="114" t="s">
        <v>43</v>
      </c>
      <c r="T6" s="125" t="s">
        <v>44</v>
      </c>
      <c r="U6" s="136" t="s">
        <v>36</v>
      </c>
      <c r="V6" s="138" t="s">
        <v>45</v>
      </c>
      <c r="W6" s="141">
        <v>1000</v>
      </c>
      <c r="X6" s="143" t="s">
        <v>46</v>
      </c>
      <c r="Y6" s="183">
        <f>1/1000000</f>
        <v>9.9999999999999995E-7</v>
      </c>
      <c r="Z6" s="182" t="s">
        <v>47</v>
      </c>
      <c r="AB6" s="186">
        <f>IFERROR(((I$6*_xlfn.XLOOKUP(I$2,Table7[Year],Table7[Electricity from gas minus Marginal Grid Intensity (kgCO2e/kWh)],,0)*Carbon!$W$6)-I$7*$W$7)*$Y$6,0)</f>
        <v>0.770664012537844</v>
      </c>
      <c r="AC6" s="188">
        <f>IFERROR(((J$6*_xlfn.XLOOKUP(J$2,Table7[Year],Table7[Electricity from gas minus Marginal Grid Intensity (kgCO2e/kWh)],,0)*Carbon!$W$6)-J$7*$W$7)*$Y$6,0)</f>
        <v>0</v>
      </c>
      <c r="AD6" s="188">
        <f>IFERROR(((K$6*_xlfn.XLOOKUP(K$2,Table7[Year],Table7[Electricity from gas minus Marginal Grid Intensity (kgCO2e/kWh)],,0)*Carbon!$W$6)-K$7*$W$7)*$Y$6,0)</f>
        <v>0</v>
      </c>
      <c r="AE6" s="188">
        <f>IFERROR(((L$6*_xlfn.XLOOKUP(L$2,Table7[Year],Table7[Electricity from gas minus Marginal Grid Intensity (kgCO2e/kWh)],,0)*Carbon!$W$6)-L$7*$W$7)*$Y$6,0)</f>
        <v>0</v>
      </c>
      <c r="AF6" s="190">
        <f>IFERROR(((M$6*_xlfn.XLOOKUP(M$2,Table7[Year],Table7[Electricity from gas minus Marginal Grid Intensity (kgCO2e/kWh)],,0)*Carbon!$W$6)-M$7*$W$7)*$Y$6,0)</f>
        <v>0</v>
      </c>
      <c r="AG6" s="186">
        <f>IFERROR(((N$6*_xlfn.XLOOKUP(N$2,Table7[Year],Table7[Electricity from gas minus Marginal Grid Intensity (kgCO2e/kWh)],,0)*Carbon!$W$6)-N$7*$W$7)*$Y$6,0)</f>
        <v>0</v>
      </c>
      <c r="AH6" s="188">
        <f>IFERROR(((O$6*_xlfn.XLOOKUP(O$2,Table7[Year],Table7[Electricity from gas minus Marginal Grid Intensity (kgCO2e/kWh)],,0)*Carbon!$W$6)-O$7*$W$7)*$Y$6,0)</f>
        <v>1.1236154618094822</v>
      </c>
      <c r="AI6" s="188">
        <f>IFERROR(((P$6*_xlfn.XLOOKUP(P$2,Table7[Year],Table7[Electricity from gas minus Marginal Grid Intensity (kgCO2e/kWh)],,0)*Carbon!$W$6)-P$7*$W$7)*$Y$6,0)</f>
        <v>0</v>
      </c>
      <c r="AJ6" s="188">
        <f>IFERROR(((Q$6*_xlfn.XLOOKUP(Q$2,Table7[Year],Table7[Electricity from gas minus Marginal Grid Intensity (kgCO2e/kWh)],,0)*Carbon!$W$6)-Q$7*$W$7)*$Y$6,0)</f>
        <v>0</v>
      </c>
      <c r="AK6" s="190">
        <f>IFERROR(((R$6*_xlfn.XLOOKUP(R$2,Table7[Year],Table7[Electricity from gas minus Marginal Grid Intensity (kgCO2e/kWh)],,0)*Carbon!$W$6)-R$7*$W$7)*$Y$6,0)</f>
        <v>0</v>
      </c>
      <c r="AL6" s="127"/>
      <c r="AM6" s="186">
        <f t="shared" ref="AM6" si="3">SUM(AB6:AF6)</f>
        <v>0.770664012537844</v>
      </c>
      <c r="AN6" s="188">
        <f t="shared" ref="AN6" si="4">SUM(AG6:AK6)</f>
        <v>1.1236154618094822</v>
      </c>
      <c r="AO6" s="190">
        <f t="shared" ref="AO6" si="5">SUM(AM6:AN6)</f>
        <v>1.8942794743473264</v>
      </c>
    </row>
    <row r="7" spans="3:41" ht="58.15" customHeight="1" thickBot="1">
      <c r="C7" s="218"/>
      <c r="D7" s="220"/>
      <c r="E7" s="228"/>
      <c r="F7" s="222"/>
      <c r="G7" s="224"/>
      <c r="H7" s="226"/>
      <c r="I7" s="120">
        <v>32092.080000000016</v>
      </c>
      <c r="J7" s="121" t="s">
        <v>33</v>
      </c>
      <c r="K7" s="121" t="s">
        <v>33</v>
      </c>
      <c r="L7" s="121" t="s">
        <v>33</v>
      </c>
      <c r="M7" s="122" t="s">
        <v>33</v>
      </c>
      <c r="N7" s="123" t="s">
        <v>33</v>
      </c>
      <c r="O7" s="162">
        <v>4649.329872058529</v>
      </c>
      <c r="P7" s="121" t="s">
        <v>33</v>
      </c>
      <c r="Q7" s="121" t="s">
        <v>33</v>
      </c>
      <c r="R7" s="124" t="s">
        <v>33</v>
      </c>
      <c r="S7" s="134" t="s">
        <v>48</v>
      </c>
      <c r="T7" s="126" t="s">
        <v>49</v>
      </c>
      <c r="U7" s="137">
        <v>1</v>
      </c>
      <c r="V7" s="140" t="s">
        <v>33</v>
      </c>
      <c r="W7" s="142">
        <v>1</v>
      </c>
      <c r="X7" s="139"/>
      <c r="Y7" s="184"/>
      <c r="Z7" s="185"/>
      <c r="AB7" s="187"/>
      <c r="AC7" s="189"/>
      <c r="AD7" s="189"/>
      <c r="AE7" s="189"/>
      <c r="AF7" s="191"/>
      <c r="AG7" s="187"/>
      <c r="AH7" s="189"/>
      <c r="AI7" s="189"/>
      <c r="AJ7" s="189"/>
      <c r="AK7" s="191"/>
      <c r="AL7" s="127"/>
      <c r="AM7" s="187"/>
      <c r="AN7" s="189"/>
      <c r="AO7" s="191"/>
    </row>
    <row r="8" spans="3:41">
      <c r="V8" s="135"/>
    </row>
    <row r="9" spans="3:41">
      <c r="V9" s="135"/>
    </row>
    <row r="12" spans="3:41">
      <c r="L12" s="112"/>
    </row>
  </sheetData>
  <mergeCells count="38">
    <mergeCell ref="C6:C7"/>
    <mergeCell ref="D6:D7"/>
    <mergeCell ref="F6:F7"/>
    <mergeCell ref="G6:G7"/>
    <mergeCell ref="H6:H7"/>
    <mergeCell ref="E6:E7"/>
    <mergeCell ref="T3:T5"/>
    <mergeCell ref="U3:U5"/>
    <mergeCell ref="V3:V5"/>
    <mergeCell ref="W3:W5"/>
    <mergeCell ref="X3:X5"/>
    <mergeCell ref="AB1:AF1"/>
    <mergeCell ref="AG1:AK1"/>
    <mergeCell ref="I1:M1"/>
    <mergeCell ref="N1:R1"/>
    <mergeCell ref="T1:V1"/>
    <mergeCell ref="D3:D4"/>
    <mergeCell ref="F3:F4"/>
    <mergeCell ref="G3:G4"/>
    <mergeCell ref="H3:H4"/>
    <mergeCell ref="S3:S5"/>
    <mergeCell ref="E3:E4"/>
    <mergeCell ref="AO6:AO7"/>
    <mergeCell ref="AG6:AG7"/>
    <mergeCell ref="AH6:AH7"/>
    <mergeCell ref="AI6:AI7"/>
    <mergeCell ref="AJ6:AJ7"/>
    <mergeCell ref="AK6:AK7"/>
    <mergeCell ref="Y3:Z5"/>
    <mergeCell ref="Y6:Y7"/>
    <mergeCell ref="Z6:Z7"/>
    <mergeCell ref="AM6:AM7"/>
    <mergeCell ref="AN6:AN7"/>
    <mergeCell ref="AB6:AB7"/>
    <mergeCell ref="AC6:AC7"/>
    <mergeCell ref="AD6:AD7"/>
    <mergeCell ref="AE6:AE7"/>
    <mergeCell ref="AF6:AF7"/>
  </mergeCells>
  <conditionalFormatting sqref="F3 F5:H6">
    <cfRule type="expression" dxfId="21" priority="11">
      <formula>ISNUMBER(SEARCH("Yes",F3))</formula>
    </cfRule>
    <cfRule type="expression" dxfId="20" priority="12">
      <formula>ISNUMBER(SEARCH("No ",F3))</formula>
    </cfRule>
  </conditionalFormatting>
  <conditionalFormatting sqref="G3">
    <cfRule type="expression" dxfId="19" priority="3">
      <formula>ISNUMBER(SEARCH("Yes",G3))</formula>
    </cfRule>
    <cfRule type="expression" dxfId="18" priority="4">
      <formula>ISNUMBER(SEARCH("No ",G3))</formula>
    </cfRule>
  </conditionalFormatting>
  <conditionalFormatting sqref="H3">
    <cfRule type="expression" dxfId="17" priority="1">
      <formula>ISNUMBER(SEARCH("Yes",H3))</formula>
    </cfRule>
    <cfRule type="expression" dxfId="16" priority="2">
      <formula>ISNUMBER(SEARCH("No ",H3))</formula>
    </cfRule>
  </conditionalFormatting>
  <dataValidations count="1">
    <dataValidation allowBlank="1" showInputMessage="1" showErrorMessage="1" sqref="W3:Y3" xr:uid="{5B3C52D5-4F0A-4ED5-A418-6E1AD0F72C39}"/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765BBB-0129-4E9D-9E18-47672B328CE0}">
          <x14:formula1>
            <xm:f>Dropdowns!$G$2:$G$4</xm:f>
          </x14:formula1>
          <xm:sqref>F3:H3 F5:H6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834F3-9AB9-4358-A666-E8DB308CCDFA}">
  <dimension ref="A1:E6"/>
  <sheetViews>
    <sheetView workbookViewId="0">
      <selection activeCell="B28" sqref="B28"/>
    </sheetView>
  </sheetViews>
  <sheetFormatPr defaultRowHeight="15"/>
  <cols>
    <col min="2" max="2" width="94.28515625" bestFit="1" customWidth="1"/>
    <col min="3" max="3" width="32.28515625" customWidth="1"/>
    <col min="4" max="4" width="29.7109375" customWidth="1"/>
    <col min="5" max="5" width="59.85546875" bestFit="1" customWidth="1"/>
  </cols>
  <sheetData>
    <row r="1" spans="1:5" ht="18">
      <c r="A1" s="38" t="s">
        <v>50</v>
      </c>
      <c r="B1" s="38" t="s">
        <v>51</v>
      </c>
      <c r="C1" s="38" t="s">
        <v>52</v>
      </c>
      <c r="D1" s="38" t="s">
        <v>53</v>
      </c>
      <c r="E1" s="38" t="s">
        <v>54</v>
      </c>
    </row>
    <row r="2" spans="1:5">
      <c r="A2" s="113" t="s">
        <v>11</v>
      </c>
      <c r="B2" s="113">
        <v>0.22605097720962891</v>
      </c>
      <c r="C2" s="180">
        <v>0.22576108294425876</v>
      </c>
      <c r="D2" s="113">
        <v>0.57165289429530308</v>
      </c>
      <c r="E2" s="113">
        <f>Table7[[#This Row],[Electricity from gas Carbon Intensity (HMT Green Book Table 2a with 32% efficiency) (kgCO2e/kWh)]]-Table7[[#This Row],[HM Treasury Green Book Table 1 Marginal Electricity Carbon Intensity Demand-Average (kgCO2e/kWh)]]</f>
        <v>0.3458918113510443</v>
      </c>
    </row>
    <row r="3" spans="1:5">
      <c r="A3" s="113" t="s">
        <v>12</v>
      </c>
      <c r="B3" s="113">
        <v>0.20997056176881779</v>
      </c>
      <c r="C3" s="180">
        <v>0.20718478431050966</v>
      </c>
      <c r="D3" s="113">
        <v>0.57165289429530308</v>
      </c>
      <c r="E3" s="113">
        <f>Table7[[#This Row],[Electricity from gas Carbon Intensity (HMT Green Book Table 2a with 32% efficiency) (kgCO2e/kWh)]]-Table7[[#This Row],[HM Treasury Green Book Table 1 Marginal Electricity Carbon Intensity Demand-Average (kgCO2e/kWh)]]</f>
        <v>0.3644681099847934</v>
      </c>
    </row>
    <row r="4" spans="1:5">
      <c r="A4" s="113" t="s">
        <v>13</v>
      </c>
      <c r="B4" s="113">
        <v>0.19269355455018808</v>
      </c>
      <c r="C4" s="113" t="s">
        <v>33</v>
      </c>
      <c r="D4" s="113" t="s">
        <v>33</v>
      </c>
      <c r="E4" s="113" t="s">
        <v>33</v>
      </c>
    </row>
    <row r="5" spans="1:5">
      <c r="A5" s="113" t="s">
        <v>14</v>
      </c>
      <c r="B5" s="113">
        <v>0.17413091358290189</v>
      </c>
      <c r="C5" s="113" t="s">
        <v>33</v>
      </c>
      <c r="D5" s="113" t="s">
        <v>33</v>
      </c>
      <c r="E5" s="113" t="s">
        <v>33</v>
      </c>
    </row>
    <row r="6" spans="1:5">
      <c r="A6" s="113" t="s">
        <v>15</v>
      </c>
      <c r="B6" s="113">
        <v>0.15418697101692191</v>
      </c>
      <c r="C6" s="113" t="s">
        <v>33</v>
      </c>
      <c r="D6" s="113" t="s">
        <v>33</v>
      </c>
      <c r="E6" s="113" t="s">
        <v>33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1A773-5453-40AF-A5A6-B2287DEF1CFC}">
  <dimension ref="C1:AK25"/>
  <sheetViews>
    <sheetView tabSelected="1" workbookViewId="0">
      <pane xSplit="4" ySplit="2" topLeftCell="U3" activePane="bottomRight" state="frozen"/>
      <selection pane="bottomRight" activeCell="AC30" sqref="AC30"/>
      <selection pane="bottomLeft" activeCell="A3" sqref="A3"/>
      <selection pane="topRight" activeCell="E1" sqref="E1"/>
    </sheetView>
  </sheetViews>
  <sheetFormatPr defaultColWidth="8.85546875" defaultRowHeight="15"/>
  <cols>
    <col min="1" max="2" width="8.85546875" style="1"/>
    <col min="3" max="3" width="30.42578125" style="1" customWidth="1"/>
    <col min="4" max="4" width="17.28515625" style="1" customWidth="1"/>
    <col min="5" max="5" width="15.28515625" style="1" customWidth="1"/>
    <col min="6" max="7" width="10" style="1" customWidth="1"/>
    <col min="8" max="8" width="9.85546875" style="1" customWidth="1"/>
    <col min="9" max="16" width="8.85546875" style="1"/>
    <col min="17" max="17" width="16.28515625" style="1" customWidth="1"/>
    <col min="18" max="18" width="23.5703125" style="1" customWidth="1"/>
    <col min="19" max="19" width="10.85546875" style="1" customWidth="1"/>
    <col min="20" max="21" width="14.140625" style="1" customWidth="1"/>
    <col min="22" max="22" width="24.28515625" style="1" customWidth="1"/>
    <col min="23" max="23" width="5.28515625" style="1" customWidth="1"/>
    <col min="24" max="27" width="8.85546875" style="1"/>
    <col min="28" max="28" width="5.5703125" style="1" customWidth="1"/>
    <col min="29" max="32" width="8.85546875" style="1"/>
    <col min="33" max="33" width="5.28515625" style="1" customWidth="1"/>
    <col min="34" max="36" width="8.85546875" style="1"/>
    <col min="37" max="37" width="8.85546875" style="127"/>
    <col min="38" max="16384" width="8.85546875" style="1"/>
  </cols>
  <sheetData>
    <row r="1" spans="3:37" ht="15" customHeight="1" thickBot="1">
      <c r="C1" s="38" t="s">
        <v>55</v>
      </c>
      <c r="F1" s="2"/>
      <c r="G1" s="2"/>
      <c r="H1" s="2"/>
      <c r="I1" s="252" t="s">
        <v>1</v>
      </c>
      <c r="J1" s="253"/>
      <c r="K1" s="253"/>
      <c r="L1" s="253"/>
      <c r="M1" s="252" t="s">
        <v>2</v>
      </c>
      <c r="N1" s="253"/>
      <c r="O1" s="253"/>
      <c r="P1" s="254"/>
      <c r="Q1" s="2"/>
      <c r="R1" s="247" t="s">
        <v>3</v>
      </c>
      <c r="S1" s="248"/>
      <c r="T1" s="249"/>
      <c r="U1" s="2"/>
      <c r="V1" s="2"/>
      <c r="W1" s="2"/>
      <c r="X1" s="270" t="s">
        <v>1</v>
      </c>
      <c r="Y1" s="271"/>
      <c r="Z1" s="271"/>
      <c r="AA1" s="272"/>
      <c r="AB1" s="76"/>
      <c r="AC1" s="270" t="s">
        <v>2</v>
      </c>
      <c r="AD1" s="271"/>
      <c r="AE1" s="271"/>
      <c r="AF1" s="272"/>
      <c r="AH1" s="270" t="s">
        <v>4</v>
      </c>
      <c r="AI1" s="271"/>
      <c r="AJ1" s="271"/>
      <c r="AK1" s="272"/>
    </row>
    <row r="2" spans="3:37" ht="60.75" thickBot="1">
      <c r="C2" s="163" t="s">
        <v>5</v>
      </c>
      <c r="D2" s="164" t="s">
        <v>6</v>
      </c>
      <c r="E2" s="165" t="s">
        <v>56</v>
      </c>
      <c r="F2" s="10" t="s">
        <v>8</v>
      </c>
      <c r="G2" s="10" t="s">
        <v>9</v>
      </c>
      <c r="H2" s="8" t="s">
        <v>10</v>
      </c>
      <c r="I2" s="58" t="s">
        <v>57</v>
      </c>
      <c r="J2" s="250" t="s">
        <v>58</v>
      </c>
      <c r="K2" s="250"/>
      <c r="L2" s="21" t="s">
        <v>59</v>
      </c>
      <c r="M2" s="20" t="s">
        <v>57</v>
      </c>
      <c r="N2" s="250" t="s">
        <v>58</v>
      </c>
      <c r="O2" s="250"/>
      <c r="P2" s="22" t="s">
        <v>59</v>
      </c>
      <c r="Q2" s="16" t="s">
        <v>16</v>
      </c>
      <c r="R2" s="20" t="s">
        <v>17</v>
      </c>
      <c r="S2" s="23" t="s">
        <v>18</v>
      </c>
      <c r="T2" s="28" t="s">
        <v>19</v>
      </c>
      <c r="U2" s="64" t="s">
        <v>60</v>
      </c>
      <c r="V2" s="65" t="s">
        <v>21</v>
      </c>
      <c r="W2" s="60"/>
      <c r="X2" s="73" t="s">
        <v>61</v>
      </c>
      <c r="Y2" s="74" t="s">
        <v>62</v>
      </c>
      <c r="Z2" s="75" t="s">
        <v>63</v>
      </c>
      <c r="AA2" s="71" t="s">
        <v>64</v>
      </c>
      <c r="AB2" s="76"/>
      <c r="AC2" s="73" t="s">
        <v>61</v>
      </c>
      <c r="AD2" s="74" t="s">
        <v>62</v>
      </c>
      <c r="AE2" s="75" t="s">
        <v>63</v>
      </c>
      <c r="AF2" s="71" t="s">
        <v>64</v>
      </c>
      <c r="AH2" s="73" t="s">
        <v>61</v>
      </c>
      <c r="AI2" s="74" t="s">
        <v>62</v>
      </c>
      <c r="AJ2" s="75" t="s">
        <v>63</v>
      </c>
      <c r="AK2" s="71" t="s">
        <v>64</v>
      </c>
    </row>
    <row r="3" spans="3:37" ht="75">
      <c r="C3" s="167" t="s">
        <v>65</v>
      </c>
      <c r="D3" s="168" t="s">
        <v>66</v>
      </c>
      <c r="E3" s="169" t="s">
        <v>67</v>
      </c>
      <c r="F3" s="5" t="s">
        <v>32</v>
      </c>
      <c r="G3" s="4" t="s">
        <v>32</v>
      </c>
      <c r="H3" s="59" t="s">
        <v>41</v>
      </c>
      <c r="I3" s="19">
        <v>1</v>
      </c>
      <c r="J3" s="251">
        <v>0</v>
      </c>
      <c r="K3" s="251"/>
      <c r="L3" s="88">
        <v>0</v>
      </c>
      <c r="M3" s="86">
        <v>14</v>
      </c>
      <c r="N3" s="251">
        <v>52</v>
      </c>
      <c r="O3" s="251"/>
      <c r="P3" s="88">
        <v>0</v>
      </c>
      <c r="Q3" s="17" t="s">
        <v>68</v>
      </c>
      <c r="R3" s="19" t="s">
        <v>69</v>
      </c>
      <c r="S3" s="25">
        <f>_xlfn.XLOOKUP(R3,Table5[Analysis],Table5[2023/24 Value],0)</f>
        <v>0.425487</v>
      </c>
      <c r="T3" s="88" t="str">
        <f>_xlfn.XLOOKUP(R3,Table5[Analysis],Table5[Units],0)</f>
        <v>£m/LAEP</v>
      </c>
      <c r="U3" s="66">
        <f>1*(1-0)*1*(1-0.15)*1</f>
        <v>0.85</v>
      </c>
      <c r="V3" s="90" t="s">
        <v>70</v>
      </c>
      <c r="W3" s="2"/>
      <c r="X3" s="159">
        <f t="shared" ref="X3:X11" si="0">I3*S3*U3</f>
        <v>0.36166395000000001</v>
      </c>
      <c r="Y3" s="160">
        <f t="shared" ref="Y3:Y11" si="1">J3*S3*U3</f>
        <v>0</v>
      </c>
      <c r="Z3" s="158">
        <f t="shared" ref="Z3:Z11" si="2">L3*S3*U3</f>
        <v>0</v>
      </c>
      <c r="AA3" s="157">
        <f>SUM(X3:Z3)</f>
        <v>0.36166395000000001</v>
      </c>
      <c r="AB3" s="76"/>
      <c r="AC3" s="159">
        <f t="shared" ref="AC3:AC11" si="3">M3*S3*U3</f>
        <v>5.0632953000000001</v>
      </c>
      <c r="AD3" s="160">
        <f t="shared" ref="AD3:AD11" si="4">N3*S3*U3</f>
        <v>18.806525399999998</v>
      </c>
      <c r="AE3" s="158">
        <f>O3*$S3*$U3</f>
        <v>0</v>
      </c>
      <c r="AF3" s="157">
        <f>SUM(AC3:AE3)</f>
        <v>23.869820699999998</v>
      </c>
      <c r="AG3" s="127"/>
      <c r="AH3" s="159">
        <f>X3+AC3</f>
        <v>5.4249592499999997</v>
      </c>
      <c r="AI3" s="160">
        <f t="shared" ref="AI3:AJ12" si="5">Y3+AD3</f>
        <v>18.806525399999998</v>
      </c>
      <c r="AJ3" s="158">
        <f t="shared" si="5"/>
        <v>0</v>
      </c>
      <c r="AK3" s="157">
        <f>SUM(AH3:AJ3)</f>
        <v>24.231484649999999</v>
      </c>
    </row>
    <row r="4" spans="3:37" ht="75">
      <c r="C4" s="170" t="s">
        <v>71</v>
      </c>
      <c r="D4" s="166" t="s">
        <v>66</v>
      </c>
      <c r="E4" s="171" t="s">
        <v>31</v>
      </c>
      <c r="F4" s="6" t="s">
        <v>41</v>
      </c>
      <c r="G4" s="3" t="s">
        <v>32</v>
      </c>
      <c r="H4" s="33" t="s">
        <v>41</v>
      </c>
      <c r="I4" s="19">
        <v>0</v>
      </c>
      <c r="J4" s="257">
        <v>0</v>
      </c>
      <c r="K4" s="258"/>
      <c r="L4" s="88">
        <v>0</v>
      </c>
      <c r="M4" s="86">
        <v>0</v>
      </c>
      <c r="N4" s="257">
        <v>66</v>
      </c>
      <c r="O4" s="258"/>
      <c r="P4" s="88">
        <v>0</v>
      </c>
      <c r="Q4" s="18" t="s">
        <v>68</v>
      </c>
      <c r="R4" s="19" t="s">
        <v>72</v>
      </c>
      <c r="S4" s="25">
        <f>_xlfn.XLOOKUP(R4,Table5[Analysis],Table5[2023/24 Value],0)</f>
        <v>57.118068000000001</v>
      </c>
      <c r="T4" s="88" t="str">
        <f>_xlfn.XLOOKUP(R4,Table5[Analysis],Table5[Units],0)</f>
        <v>£m/LAEP</v>
      </c>
      <c r="U4" s="67">
        <f>0.9*(1-0.2)*0.01*(1-0.4)*5</f>
        <v>2.1600000000000001E-2</v>
      </c>
      <c r="V4" s="90" t="s">
        <v>73</v>
      </c>
      <c r="W4" s="2"/>
      <c r="X4" s="159">
        <f t="shared" si="0"/>
        <v>0</v>
      </c>
      <c r="Y4" s="160">
        <f t="shared" si="1"/>
        <v>0</v>
      </c>
      <c r="Z4" s="158">
        <f t="shared" si="2"/>
        <v>0</v>
      </c>
      <c r="AA4" s="157">
        <f t="shared" ref="AA4:AA11" si="6">SUM(X4:Z4)</f>
        <v>0</v>
      </c>
      <c r="AB4" s="76"/>
      <c r="AC4" s="159">
        <f t="shared" si="3"/>
        <v>0</v>
      </c>
      <c r="AD4" s="160">
        <f t="shared" si="4"/>
        <v>81.427517740799999</v>
      </c>
      <c r="AE4" s="158">
        <f>O4*$S4*$U4</f>
        <v>0</v>
      </c>
      <c r="AF4" s="157">
        <f t="shared" ref="AF4:AF11" si="7">SUM(AC4:AE4)</f>
        <v>81.427517740799999</v>
      </c>
      <c r="AG4" s="127"/>
      <c r="AH4" s="159">
        <f t="shared" ref="AH4:AH11" si="8">X4+AC4</f>
        <v>0</v>
      </c>
      <c r="AI4" s="160">
        <f t="shared" si="5"/>
        <v>81.427517740799999</v>
      </c>
      <c r="AJ4" s="158">
        <f t="shared" si="5"/>
        <v>0</v>
      </c>
      <c r="AK4" s="157">
        <f t="shared" ref="AK4:AK11" si="9">SUM(AH4:AJ4)</f>
        <v>81.427517740799999</v>
      </c>
    </row>
    <row r="5" spans="3:37" ht="75">
      <c r="C5" s="170" t="s">
        <v>74</v>
      </c>
      <c r="D5" s="166" t="s">
        <v>66</v>
      </c>
      <c r="E5" s="171" t="s">
        <v>67</v>
      </c>
      <c r="F5" s="6" t="s">
        <v>32</v>
      </c>
      <c r="G5" s="3" t="s">
        <v>41</v>
      </c>
      <c r="H5" s="33" t="s">
        <v>41</v>
      </c>
      <c r="I5" s="19">
        <v>0</v>
      </c>
      <c r="J5" s="257">
        <v>0</v>
      </c>
      <c r="K5" s="258"/>
      <c r="L5" s="88">
        <v>0</v>
      </c>
      <c r="M5" s="86">
        <v>18</v>
      </c>
      <c r="N5" s="257">
        <v>0</v>
      </c>
      <c r="O5" s="258"/>
      <c r="P5" s="88">
        <v>0</v>
      </c>
      <c r="Q5" s="18" t="s">
        <v>75</v>
      </c>
      <c r="R5" s="19" t="s">
        <v>76</v>
      </c>
      <c r="S5" s="25">
        <f>_xlfn.XLOOKUP(R5,Table5[Analysis],Table5[2023/24 Value],0)</f>
        <v>8.6870000000000003E-3</v>
      </c>
      <c r="T5" s="88" t="str">
        <f>_xlfn.XLOOKUP(R5,Table5[Analysis],Table5[Units],0)</f>
        <v>£m/Initiative</v>
      </c>
      <c r="U5" s="66">
        <f>1*(1-0)*1*(1-0)*1</f>
        <v>1</v>
      </c>
      <c r="V5" s="90" t="s">
        <v>77</v>
      </c>
      <c r="W5" s="2"/>
      <c r="X5" s="159">
        <f t="shared" si="0"/>
        <v>0</v>
      </c>
      <c r="Y5" s="160">
        <f t="shared" si="1"/>
        <v>0</v>
      </c>
      <c r="Z5" s="158">
        <f t="shared" si="2"/>
        <v>0</v>
      </c>
      <c r="AA5" s="157">
        <f t="shared" si="6"/>
        <v>0</v>
      </c>
      <c r="AB5" s="76"/>
      <c r="AC5" s="159">
        <f t="shared" si="3"/>
        <v>0.156366</v>
      </c>
      <c r="AD5" s="160">
        <f t="shared" si="4"/>
        <v>0</v>
      </c>
      <c r="AE5" s="158">
        <f>O5*$S5*$U5</f>
        <v>0</v>
      </c>
      <c r="AF5" s="157">
        <f t="shared" si="7"/>
        <v>0.156366</v>
      </c>
      <c r="AG5" s="127"/>
      <c r="AH5" s="159">
        <f t="shared" si="8"/>
        <v>0.156366</v>
      </c>
      <c r="AI5" s="160">
        <f t="shared" si="5"/>
        <v>0</v>
      </c>
      <c r="AJ5" s="158">
        <f t="shared" si="5"/>
        <v>0</v>
      </c>
      <c r="AK5" s="157">
        <f t="shared" si="9"/>
        <v>0.156366</v>
      </c>
    </row>
    <row r="6" spans="3:37" ht="45.75">
      <c r="C6" s="170" t="s">
        <v>78</v>
      </c>
      <c r="D6" s="166" t="s">
        <v>79</v>
      </c>
      <c r="E6" s="171" t="s">
        <v>67</v>
      </c>
      <c r="F6" s="6" t="s">
        <v>32</v>
      </c>
      <c r="G6" s="3" t="s">
        <v>41</v>
      </c>
      <c r="H6" s="33" t="s">
        <v>41</v>
      </c>
      <c r="I6" s="80">
        <v>46.890999999999998</v>
      </c>
      <c r="J6" s="243">
        <v>0</v>
      </c>
      <c r="K6" s="243"/>
      <c r="L6" s="77">
        <v>0</v>
      </c>
      <c r="M6" s="43">
        <v>18.216000000000001</v>
      </c>
      <c r="N6" s="243">
        <v>0</v>
      </c>
      <c r="O6" s="243"/>
      <c r="P6" s="77">
        <v>0</v>
      </c>
      <c r="Q6" s="18" t="s">
        <v>80</v>
      </c>
      <c r="R6" s="78" t="s">
        <v>81</v>
      </c>
      <c r="S6" s="25">
        <f>_xlfn.XLOOKUP(R6,Table5[Analysis],Table5[2023/24 Value],0)</f>
        <v>0.42689372739999998</v>
      </c>
      <c r="T6" s="77" t="str">
        <f>_xlfn.XLOOKUP(R6,Table5[Analysis],Table5[Units],0)</f>
        <v>£m/MVA/year</v>
      </c>
      <c r="U6" s="66">
        <v>0.9</v>
      </c>
      <c r="V6" s="90" t="s">
        <v>82</v>
      </c>
      <c r="W6" s="2"/>
      <c r="X6" s="159">
        <f t="shared" si="0"/>
        <v>18.015726394362058</v>
      </c>
      <c r="Y6" s="160">
        <f t="shared" si="1"/>
        <v>0</v>
      </c>
      <c r="Z6" s="158">
        <f t="shared" si="2"/>
        <v>0</v>
      </c>
      <c r="AA6" s="157">
        <f t="shared" si="6"/>
        <v>18.015726394362058</v>
      </c>
      <c r="AB6" s="76"/>
      <c r="AC6" s="159">
        <f t="shared" si="3"/>
        <v>6.99866652448656</v>
      </c>
      <c r="AD6" s="160">
        <f t="shared" si="4"/>
        <v>0</v>
      </c>
      <c r="AE6" s="158">
        <f>O6*$S6*$U6</f>
        <v>0</v>
      </c>
      <c r="AF6" s="157">
        <f t="shared" si="7"/>
        <v>6.99866652448656</v>
      </c>
      <c r="AG6" s="127"/>
      <c r="AH6" s="159">
        <f t="shared" si="8"/>
        <v>25.014392918848618</v>
      </c>
      <c r="AI6" s="160">
        <f t="shared" si="5"/>
        <v>0</v>
      </c>
      <c r="AJ6" s="158">
        <f t="shared" si="5"/>
        <v>0</v>
      </c>
      <c r="AK6" s="157">
        <f t="shared" si="9"/>
        <v>25.014392918848618</v>
      </c>
    </row>
    <row r="7" spans="3:37" ht="45">
      <c r="C7" s="170" t="s">
        <v>83</v>
      </c>
      <c r="D7" s="166" t="s">
        <v>79</v>
      </c>
      <c r="E7" s="171" t="s">
        <v>67</v>
      </c>
      <c r="F7" s="6" t="s">
        <v>32</v>
      </c>
      <c r="G7" s="3" t="s">
        <v>32</v>
      </c>
      <c r="H7" s="33" t="s">
        <v>32</v>
      </c>
      <c r="I7" s="78">
        <v>0</v>
      </c>
      <c r="J7" s="259">
        <v>324.7</v>
      </c>
      <c r="K7" s="259"/>
      <c r="L7" s="77">
        <v>222</v>
      </c>
      <c r="M7" s="12">
        <v>10</v>
      </c>
      <c r="N7" s="259">
        <v>890.7</v>
      </c>
      <c r="O7" s="259"/>
      <c r="P7" s="77">
        <v>1419</v>
      </c>
      <c r="Q7" s="18" t="s">
        <v>80</v>
      </c>
      <c r="R7" s="78" t="s">
        <v>81</v>
      </c>
      <c r="S7" s="25">
        <f>_xlfn.XLOOKUP(R7,Table5[Analysis],Table5[2023/24 Value],0)</f>
        <v>0.42689372739999998</v>
      </c>
      <c r="T7" s="77" t="str">
        <f>_xlfn.XLOOKUP(R7,Table5[Analysis],Table5[Units],0)</f>
        <v>£m/MVA/year</v>
      </c>
      <c r="U7" s="66">
        <f>3*0.56</f>
        <v>1.6800000000000002</v>
      </c>
      <c r="V7" s="90" t="s">
        <v>84</v>
      </c>
      <c r="W7" s="2"/>
      <c r="X7" s="159">
        <f t="shared" si="0"/>
        <v>0</v>
      </c>
      <c r="Y7" s="160">
        <f t="shared" si="1"/>
        <v>232.8688207217904</v>
      </c>
      <c r="Z7" s="158">
        <f t="shared" si="2"/>
        <v>159.214284571104</v>
      </c>
      <c r="AA7" s="157">
        <f t="shared" si="6"/>
        <v>392.0831052928944</v>
      </c>
      <c r="AB7" s="76"/>
      <c r="AC7" s="159">
        <f t="shared" si="3"/>
        <v>7.1718146203200002</v>
      </c>
      <c r="AD7" s="160">
        <f t="shared" si="4"/>
        <v>638.79352823190243</v>
      </c>
      <c r="AE7" s="158">
        <f>P7*S7*U7</f>
        <v>1017.680494623408</v>
      </c>
      <c r="AF7" s="157">
        <f t="shared" si="7"/>
        <v>1663.6458374756303</v>
      </c>
      <c r="AG7" s="127"/>
      <c r="AH7" s="159">
        <f t="shared" si="8"/>
        <v>7.1718146203200002</v>
      </c>
      <c r="AI7" s="160">
        <f t="shared" si="5"/>
        <v>871.6623489536928</v>
      </c>
      <c r="AJ7" s="158">
        <f t="shared" si="5"/>
        <v>1176.894779194512</v>
      </c>
      <c r="AK7" s="157">
        <f t="shared" si="9"/>
        <v>2055.7289427685246</v>
      </c>
    </row>
    <row r="8" spans="3:37" ht="45">
      <c r="C8" s="170" t="s">
        <v>85</v>
      </c>
      <c r="D8" s="166" t="s">
        <v>79</v>
      </c>
      <c r="E8" s="171" t="s">
        <v>67</v>
      </c>
      <c r="F8" s="6" t="s">
        <v>32</v>
      </c>
      <c r="G8" s="3" t="s">
        <v>32</v>
      </c>
      <c r="H8" s="33" t="s">
        <v>32</v>
      </c>
      <c r="I8" s="78">
        <v>0</v>
      </c>
      <c r="J8" s="243">
        <v>0</v>
      </c>
      <c r="K8" s="243"/>
      <c r="L8" s="77">
        <v>0</v>
      </c>
      <c r="M8" s="12">
        <v>0</v>
      </c>
      <c r="N8" s="243">
        <v>18</v>
      </c>
      <c r="O8" s="243"/>
      <c r="P8" s="77">
        <v>257</v>
      </c>
      <c r="Q8" s="18" t="s">
        <v>80</v>
      </c>
      <c r="R8" s="78" t="s">
        <v>86</v>
      </c>
      <c r="S8" s="25">
        <f>_xlfn.XLOOKUP(R8,Table5[Analysis],Table5[2023/24 Value],0)</f>
        <v>0.3261208122</v>
      </c>
      <c r="T8" s="77" t="str">
        <f>_xlfn.XLOOKUP(R8,Table5[Analysis],Table5[Units],0)</f>
        <v>£m/MVA/year</v>
      </c>
      <c r="U8" s="66">
        <f>3*0.56</f>
        <v>1.6800000000000002</v>
      </c>
      <c r="V8" s="90" t="s">
        <v>84</v>
      </c>
      <c r="W8" s="2"/>
      <c r="X8" s="159">
        <f t="shared" si="0"/>
        <v>0</v>
      </c>
      <c r="Y8" s="160">
        <f t="shared" si="1"/>
        <v>0</v>
      </c>
      <c r="Z8" s="158">
        <f t="shared" si="2"/>
        <v>0</v>
      </c>
      <c r="AA8" s="157">
        <f t="shared" si="6"/>
        <v>0</v>
      </c>
      <c r="AB8" s="76"/>
      <c r="AC8" s="159">
        <f t="shared" si="3"/>
        <v>0</v>
      </c>
      <c r="AD8" s="160">
        <f t="shared" si="4"/>
        <v>9.8618933609280006</v>
      </c>
      <c r="AE8" s="158">
        <f>P8*S8*U8</f>
        <v>140.80592187547202</v>
      </c>
      <c r="AF8" s="157">
        <f t="shared" si="7"/>
        <v>150.66781523640003</v>
      </c>
      <c r="AG8" s="127"/>
      <c r="AH8" s="159">
        <f t="shared" si="8"/>
        <v>0</v>
      </c>
      <c r="AI8" s="160">
        <f t="shared" si="5"/>
        <v>9.8618933609280006</v>
      </c>
      <c r="AJ8" s="158">
        <f t="shared" si="5"/>
        <v>140.80592187547202</v>
      </c>
      <c r="AK8" s="157">
        <f t="shared" si="9"/>
        <v>150.66781523640003</v>
      </c>
    </row>
    <row r="9" spans="3:37" ht="30">
      <c r="C9" s="170" t="s">
        <v>87</v>
      </c>
      <c r="D9" s="166" t="s">
        <v>79</v>
      </c>
      <c r="E9" s="171" t="s">
        <v>67</v>
      </c>
      <c r="F9" s="6" t="s">
        <v>32</v>
      </c>
      <c r="G9" s="3" t="s">
        <v>32</v>
      </c>
      <c r="H9" s="33" t="s">
        <v>32</v>
      </c>
      <c r="I9" s="80">
        <v>47.762</v>
      </c>
      <c r="J9" s="243">
        <v>0</v>
      </c>
      <c r="K9" s="243"/>
      <c r="L9" s="79">
        <v>56.238</v>
      </c>
      <c r="M9" s="43">
        <v>90.051000000000002</v>
      </c>
      <c r="N9" s="265">
        <v>44.966000000000001</v>
      </c>
      <c r="O9" s="265"/>
      <c r="P9" s="77">
        <v>0</v>
      </c>
      <c r="Q9" s="18" t="s">
        <v>80</v>
      </c>
      <c r="R9" s="78" t="s">
        <v>81</v>
      </c>
      <c r="S9" s="25">
        <f>_xlfn.XLOOKUP(R9,Table5[Analysis],Table5[2023/24 Value],0)</f>
        <v>0.42689372739999998</v>
      </c>
      <c r="T9" s="77" t="str">
        <f>_xlfn.XLOOKUP(R9,Table5[Analysis],Table5[Units],0)</f>
        <v>£m/MVA/year</v>
      </c>
      <c r="U9" s="66">
        <f>1*0.4</f>
        <v>0.4</v>
      </c>
      <c r="V9" s="90" t="s">
        <v>88</v>
      </c>
      <c r="W9" s="2"/>
      <c r="X9" s="159">
        <f t="shared" si="0"/>
        <v>8.1557192832315195</v>
      </c>
      <c r="Y9" s="160">
        <f t="shared" si="1"/>
        <v>0</v>
      </c>
      <c r="Z9" s="158">
        <f t="shared" si="2"/>
        <v>9.6030597766084806</v>
      </c>
      <c r="AA9" s="157">
        <f t="shared" si="6"/>
        <v>17.758779059840002</v>
      </c>
      <c r="AB9" s="76"/>
      <c r="AC9" s="159">
        <f t="shared" si="3"/>
        <v>15.376882818438961</v>
      </c>
      <c r="AD9" s="160">
        <f t="shared" si="4"/>
        <v>7.6782813385073601</v>
      </c>
      <c r="AE9" s="158">
        <f>P9*S9*U9</f>
        <v>0</v>
      </c>
      <c r="AF9" s="157">
        <f t="shared" si="7"/>
        <v>23.055164156946322</v>
      </c>
      <c r="AG9" s="127"/>
      <c r="AH9" s="159">
        <f t="shared" si="8"/>
        <v>23.532602101670481</v>
      </c>
      <c r="AI9" s="160">
        <f t="shared" si="5"/>
        <v>7.6782813385073601</v>
      </c>
      <c r="AJ9" s="158">
        <f t="shared" si="5"/>
        <v>9.6030597766084806</v>
      </c>
      <c r="AK9" s="157">
        <f t="shared" si="9"/>
        <v>40.813943216786321</v>
      </c>
    </row>
    <row r="10" spans="3:37" ht="30">
      <c r="C10" s="170" t="s">
        <v>89</v>
      </c>
      <c r="D10" s="166" t="s">
        <v>79</v>
      </c>
      <c r="E10" s="171" t="s">
        <v>67</v>
      </c>
      <c r="F10" s="6" t="s">
        <v>41</v>
      </c>
      <c r="G10" s="3" t="s">
        <v>32</v>
      </c>
      <c r="H10" s="33" t="s">
        <v>41</v>
      </c>
      <c r="I10" s="78">
        <v>0</v>
      </c>
      <c r="J10" s="243">
        <v>0</v>
      </c>
      <c r="K10" s="243"/>
      <c r="L10" s="77">
        <v>0</v>
      </c>
      <c r="M10" s="12">
        <v>0</v>
      </c>
      <c r="N10" s="266">
        <v>0.36364000000000002</v>
      </c>
      <c r="O10" s="267"/>
      <c r="P10" s="77">
        <v>0</v>
      </c>
      <c r="Q10" s="18" t="s">
        <v>90</v>
      </c>
      <c r="R10" s="78" t="s">
        <v>49</v>
      </c>
      <c r="S10" s="50">
        <f>_xlfn.XLOOKUP(R10,Table5[Analysis],Table5[2023/24 Value],0)</f>
        <v>1</v>
      </c>
      <c r="T10" s="77" t="str">
        <f>_xlfn.XLOOKUP(R10,Table5[Analysis],Table5[Units],0)</f>
        <v>N/A</v>
      </c>
      <c r="U10" s="66">
        <v>1</v>
      </c>
      <c r="V10" s="90" t="s">
        <v>91</v>
      </c>
      <c r="W10" s="2"/>
      <c r="X10" s="159">
        <f t="shared" si="0"/>
        <v>0</v>
      </c>
      <c r="Y10" s="160">
        <f t="shared" si="1"/>
        <v>0</v>
      </c>
      <c r="Z10" s="158">
        <f t="shared" si="2"/>
        <v>0</v>
      </c>
      <c r="AA10" s="157">
        <f t="shared" si="6"/>
        <v>0</v>
      </c>
      <c r="AB10" s="76"/>
      <c r="AC10" s="159">
        <f t="shared" si="3"/>
        <v>0</v>
      </c>
      <c r="AD10" s="160">
        <f t="shared" si="4"/>
        <v>0.36364000000000002</v>
      </c>
      <c r="AE10" s="158">
        <f>P10*S10*U10</f>
        <v>0</v>
      </c>
      <c r="AF10" s="157">
        <f t="shared" si="7"/>
        <v>0.36364000000000002</v>
      </c>
      <c r="AG10" s="127"/>
      <c r="AH10" s="159">
        <f t="shared" si="8"/>
        <v>0</v>
      </c>
      <c r="AI10" s="160">
        <f t="shared" si="5"/>
        <v>0.36364000000000002</v>
      </c>
      <c r="AJ10" s="158">
        <f t="shared" si="5"/>
        <v>0</v>
      </c>
      <c r="AK10" s="157">
        <f t="shared" si="9"/>
        <v>0.36364000000000002</v>
      </c>
    </row>
    <row r="11" spans="3:37" ht="45.75">
      <c r="C11" s="170" t="s">
        <v>92</v>
      </c>
      <c r="D11" s="166" t="s">
        <v>79</v>
      </c>
      <c r="E11" s="171" t="s">
        <v>67</v>
      </c>
      <c r="F11" s="6" t="s">
        <v>41</v>
      </c>
      <c r="G11" s="9" t="s">
        <v>32</v>
      </c>
      <c r="H11" s="33" t="s">
        <v>41</v>
      </c>
      <c r="I11" s="78">
        <v>0</v>
      </c>
      <c r="J11" s="243">
        <v>0</v>
      </c>
      <c r="K11" s="243"/>
      <c r="L11" s="77">
        <v>0</v>
      </c>
      <c r="M11" s="12">
        <v>0</v>
      </c>
      <c r="N11" s="266">
        <v>24.353999999999999</v>
      </c>
      <c r="O11" s="267"/>
      <c r="P11" s="77">
        <v>0</v>
      </c>
      <c r="Q11" s="18" t="s">
        <v>90</v>
      </c>
      <c r="R11" s="78" t="s">
        <v>93</v>
      </c>
      <c r="S11" s="51">
        <f>_xlfn.XLOOKUP(R11,Table5[Analysis],Table5[2023/24 Value],0)</f>
        <v>0.5</v>
      </c>
      <c r="T11" s="77" t="str">
        <f>_xlfn.XLOOKUP(R11,Table5[Analysis],Table5[Units],0)</f>
        <v>N/A</v>
      </c>
      <c r="U11" s="66">
        <v>1</v>
      </c>
      <c r="V11" s="90"/>
      <c r="W11" s="2"/>
      <c r="X11" s="159">
        <f t="shared" si="0"/>
        <v>0</v>
      </c>
      <c r="Y11" s="160">
        <f t="shared" si="1"/>
        <v>0</v>
      </c>
      <c r="Z11" s="158">
        <f t="shared" si="2"/>
        <v>0</v>
      </c>
      <c r="AA11" s="157">
        <f t="shared" si="6"/>
        <v>0</v>
      </c>
      <c r="AB11" s="76"/>
      <c r="AC11" s="159">
        <f t="shared" si="3"/>
        <v>0</v>
      </c>
      <c r="AD11" s="160">
        <f t="shared" si="4"/>
        <v>12.177</v>
      </c>
      <c r="AE11" s="158">
        <f>P11*S11*U11</f>
        <v>0</v>
      </c>
      <c r="AF11" s="157">
        <f t="shared" si="7"/>
        <v>12.177</v>
      </c>
      <c r="AG11" s="127"/>
      <c r="AH11" s="159">
        <f t="shared" si="8"/>
        <v>0</v>
      </c>
      <c r="AI11" s="160">
        <f t="shared" si="5"/>
        <v>12.177</v>
      </c>
      <c r="AJ11" s="158">
        <f t="shared" si="5"/>
        <v>0</v>
      </c>
      <c r="AK11" s="157">
        <f t="shared" si="9"/>
        <v>12.177</v>
      </c>
    </row>
    <row r="12" spans="3:37" ht="24.75" customHeight="1">
      <c r="C12" s="237" t="s">
        <v>94</v>
      </c>
      <c r="D12" s="239" t="s">
        <v>30</v>
      </c>
      <c r="E12" s="227" t="s">
        <v>67</v>
      </c>
      <c r="F12" s="241" t="s">
        <v>32</v>
      </c>
      <c r="G12" s="243" t="s">
        <v>32</v>
      </c>
      <c r="H12" s="244" t="s">
        <v>32</v>
      </c>
      <c r="I12" s="36">
        <f>20</f>
        <v>20</v>
      </c>
      <c r="J12" s="15">
        <v>20</v>
      </c>
      <c r="K12" s="15">
        <v>1636</v>
      </c>
      <c r="L12" s="13">
        <v>1592</v>
      </c>
      <c r="M12" s="14">
        <f>20</f>
        <v>20</v>
      </c>
      <c r="N12" s="15">
        <v>20</v>
      </c>
      <c r="O12" s="15">
        <v>1237</v>
      </c>
      <c r="P12" s="13">
        <v>702</v>
      </c>
      <c r="Q12" s="18" t="s">
        <v>95</v>
      </c>
      <c r="R12" s="229" t="s">
        <v>96</v>
      </c>
      <c r="S12" s="231">
        <f>_xlfn.XLOOKUP(R12,Table5[Analysis],Table5[2023/24 Value],0)</f>
        <v>100</v>
      </c>
      <c r="T12" s="233" t="str">
        <f>_xlfn.XLOOKUP(R12,Table5[Analysis],Table5[Units],0)</f>
        <v>£/MWh</v>
      </c>
      <c r="U12" s="235">
        <f>0.1*8760/10^6</f>
        <v>8.7600000000000004E-4</v>
      </c>
      <c r="V12" s="236" t="s">
        <v>97</v>
      </c>
      <c r="W12" s="273"/>
      <c r="X12" s="275">
        <f>PRODUCT(I12:I13)*S12*U12</f>
        <v>1.752</v>
      </c>
      <c r="Y12" s="276">
        <f>(PRODUCT(J12:J13)+PRODUCT(K12:K13))*S12*U12</f>
        <v>919.35936000000015</v>
      </c>
      <c r="Z12" s="274">
        <f>PRODUCT(L12:L13)*S12*U12</f>
        <v>767.21663999999998</v>
      </c>
      <c r="AA12" s="268">
        <f>SUM(X12:Z13)</f>
        <v>1688.328</v>
      </c>
      <c r="AB12" s="269"/>
      <c r="AC12" s="275">
        <f>PRODUCT(M12:M13)*S12*U12</f>
        <v>1.752</v>
      </c>
      <c r="AD12" s="276">
        <f>(PRODUCT(N12:N13)+PRODUCT(O12:O13))*S12*U12</f>
        <v>557.27303999999992</v>
      </c>
      <c r="AE12" s="274">
        <f>PRODUCT(P12:P13)*S12*U12</f>
        <v>217.00224</v>
      </c>
      <c r="AF12" s="268">
        <f>SUM(AC12:AE13)</f>
        <v>776.02727999999991</v>
      </c>
      <c r="AG12" s="277"/>
      <c r="AH12" s="275">
        <f>X12+AC12</f>
        <v>3.504</v>
      </c>
      <c r="AI12" s="276">
        <f t="shared" si="5"/>
        <v>1476.6324</v>
      </c>
      <c r="AJ12" s="274">
        <f t="shared" si="5"/>
        <v>984.21888000000001</v>
      </c>
      <c r="AK12" s="268">
        <f>SUM(AH12:AJ13)</f>
        <v>2464.3552799999998</v>
      </c>
    </row>
    <row r="13" spans="3:37" ht="26.25" customHeight="1">
      <c r="C13" s="238"/>
      <c r="D13" s="240"/>
      <c r="E13" s="246"/>
      <c r="F13" s="242"/>
      <c r="G13" s="243"/>
      <c r="H13" s="245"/>
      <c r="I13" s="54">
        <f>365/365</f>
        <v>1</v>
      </c>
      <c r="J13" s="55">
        <f>(4658-365)/365</f>
        <v>11.761643835616438</v>
      </c>
      <c r="K13" s="55">
        <f>2289/365</f>
        <v>6.2712328767123289</v>
      </c>
      <c r="L13" s="56">
        <f>2008/365</f>
        <v>5.5013698630136982</v>
      </c>
      <c r="M13" s="57">
        <f>365/365</f>
        <v>1</v>
      </c>
      <c r="N13" s="55">
        <f>-365/365</f>
        <v>-1</v>
      </c>
      <c r="O13" s="55">
        <f>1883/365</f>
        <v>5.1589041095890407</v>
      </c>
      <c r="P13" s="56">
        <f>1288/365</f>
        <v>3.5287671232876714</v>
      </c>
      <c r="Q13" s="18" t="s">
        <v>98</v>
      </c>
      <c r="R13" s="230"/>
      <c r="S13" s="232"/>
      <c r="T13" s="234"/>
      <c r="U13" s="235"/>
      <c r="V13" s="236"/>
      <c r="W13" s="273"/>
      <c r="X13" s="275"/>
      <c r="Y13" s="276"/>
      <c r="Z13" s="274"/>
      <c r="AA13" s="268"/>
      <c r="AB13" s="269"/>
      <c r="AC13" s="275"/>
      <c r="AD13" s="276"/>
      <c r="AE13" s="274"/>
      <c r="AF13" s="268"/>
      <c r="AG13" s="277"/>
      <c r="AH13" s="275"/>
      <c r="AI13" s="276"/>
      <c r="AJ13" s="274"/>
      <c r="AK13" s="268"/>
    </row>
    <row r="14" spans="3:37" ht="45">
      <c r="C14" s="170" t="s">
        <v>99</v>
      </c>
      <c r="D14" s="166" t="s">
        <v>30</v>
      </c>
      <c r="E14" s="171" t="s">
        <v>67</v>
      </c>
      <c r="F14" s="6" t="s">
        <v>32</v>
      </c>
      <c r="G14" s="4" t="s">
        <v>41</v>
      </c>
      <c r="H14" s="33" t="s">
        <v>32</v>
      </c>
      <c r="I14" s="78">
        <v>0</v>
      </c>
      <c r="J14" s="243">
        <v>0</v>
      </c>
      <c r="K14" s="243"/>
      <c r="L14" s="77">
        <v>0</v>
      </c>
      <c r="M14" s="12">
        <v>49.7</v>
      </c>
      <c r="N14" s="257">
        <v>0</v>
      </c>
      <c r="O14" s="258"/>
      <c r="P14" s="77">
        <f>1468-49.7</f>
        <v>1418.3</v>
      </c>
      <c r="Q14" s="18" t="s">
        <v>95</v>
      </c>
      <c r="R14" s="78" t="s">
        <v>96</v>
      </c>
      <c r="S14" s="52">
        <f>_xlfn.XLOOKUP(R14,Table5[Analysis],Table5[2023/24 Value],0)</f>
        <v>100</v>
      </c>
      <c r="T14" s="77" t="str">
        <f>_xlfn.XLOOKUP(R14,Table5[Analysis],Table5[Units],0)</f>
        <v>£/MWh</v>
      </c>
      <c r="U14" s="89">
        <f>0.1*8760/10^6</f>
        <v>8.7600000000000004E-4</v>
      </c>
      <c r="V14" s="90" t="s">
        <v>97</v>
      </c>
      <c r="W14" s="2"/>
      <c r="X14" s="159">
        <f t="shared" ref="X14:X22" si="10">I14*S14*U14</f>
        <v>0</v>
      </c>
      <c r="Y14" s="160">
        <f t="shared" ref="Y14:Y22" si="11">J14*S14*U14</f>
        <v>0</v>
      </c>
      <c r="Z14" s="158">
        <f t="shared" ref="Z14:Z22" si="12">L14*S14*U14</f>
        <v>0</v>
      </c>
      <c r="AA14" s="157">
        <f t="shared" ref="AA14:AA22" si="13">SUM(X14:Z14)</f>
        <v>0</v>
      </c>
      <c r="AB14" s="76"/>
      <c r="AC14" s="159">
        <f t="shared" ref="AC14:AC22" si="14">M14*S14*U14</f>
        <v>4.35372</v>
      </c>
      <c r="AD14" s="160">
        <f t="shared" ref="AD14:AD22" si="15">N14*S14*U14</f>
        <v>0</v>
      </c>
      <c r="AE14" s="158">
        <f t="shared" ref="AE14:AE22" si="16">P14*S14*U14</f>
        <v>124.24308000000001</v>
      </c>
      <c r="AF14" s="157">
        <f t="shared" ref="AF14:AF22" si="17">SUM(AC14:AE14)</f>
        <v>128.5968</v>
      </c>
      <c r="AG14" s="127"/>
      <c r="AH14" s="159">
        <f t="shared" ref="AH14:AH22" si="18">X14+AC14</f>
        <v>4.35372</v>
      </c>
      <c r="AI14" s="160">
        <f t="shared" ref="AI14:AI22" si="19">Y14+AD14</f>
        <v>0</v>
      </c>
      <c r="AJ14" s="158">
        <f t="shared" ref="AJ14:AJ22" si="20">Z14+AE14</f>
        <v>124.24308000000001</v>
      </c>
      <c r="AK14" s="157">
        <f t="shared" ref="AK14:AK22" si="21">SUM(AH14:AJ14)</f>
        <v>128.5968</v>
      </c>
    </row>
    <row r="15" spans="3:37" ht="30">
      <c r="C15" s="170" t="s">
        <v>100</v>
      </c>
      <c r="D15" s="166" t="s">
        <v>101</v>
      </c>
      <c r="E15" s="171" t="s">
        <v>67</v>
      </c>
      <c r="F15" s="6" t="s">
        <v>41</v>
      </c>
      <c r="G15" s="3" t="s">
        <v>32</v>
      </c>
      <c r="H15" s="33" t="s">
        <v>41</v>
      </c>
      <c r="I15" s="78">
        <v>0</v>
      </c>
      <c r="J15" s="243">
        <v>0</v>
      </c>
      <c r="K15" s="243"/>
      <c r="L15" s="77">
        <v>0</v>
      </c>
      <c r="M15" s="12">
        <v>0</v>
      </c>
      <c r="N15" s="257">
        <v>14.49</v>
      </c>
      <c r="O15" s="258"/>
      <c r="P15" s="87">
        <v>0</v>
      </c>
      <c r="Q15" s="18" t="s">
        <v>90</v>
      </c>
      <c r="R15" s="78" t="s">
        <v>49</v>
      </c>
      <c r="S15" s="52">
        <f>_xlfn.XLOOKUP(R15,Table5[Analysis],Table5[2023/24 Value],0)</f>
        <v>1</v>
      </c>
      <c r="T15" s="77" t="str">
        <f>_xlfn.XLOOKUP(R15,Table5[Analysis],Table5[Units],0)</f>
        <v>N/A</v>
      </c>
      <c r="U15" s="66">
        <v>1</v>
      </c>
      <c r="V15" s="90"/>
      <c r="W15" s="2"/>
      <c r="X15" s="159">
        <f t="shared" si="10"/>
        <v>0</v>
      </c>
      <c r="Y15" s="160">
        <f t="shared" si="11"/>
        <v>0</v>
      </c>
      <c r="Z15" s="158">
        <f t="shared" si="12"/>
        <v>0</v>
      </c>
      <c r="AA15" s="157">
        <f t="shared" si="13"/>
        <v>0</v>
      </c>
      <c r="AB15" s="76"/>
      <c r="AC15" s="159">
        <f t="shared" si="14"/>
        <v>0</v>
      </c>
      <c r="AD15" s="160">
        <f t="shared" si="15"/>
        <v>14.49</v>
      </c>
      <c r="AE15" s="158">
        <f t="shared" si="16"/>
        <v>0</v>
      </c>
      <c r="AF15" s="157">
        <f t="shared" si="17"/>
        <v>14.49</v>
      </c>
      <c r="AG15" s="127"/>
      <c r="AH15" s="159">
        <f t="shared" si="18"/>
        <v>0</v>
      </c>
      <c r="AI15" s="160">
        <f t="shared" si="19"/>
        <v>14.49</v>
      </c>
      <c r="AJ15" s="158">
        <f t="shared" si="20"/>
        <v>0</v>
      </c>
      <c r="AK15" s="157">
        <f t="shared" si="21"/>
        <v>14.49</v>
      </c>
    </row>
    <row r="16" spans="3:37" ht="45">
      <c r="C16" s="170" t="s">
        <v>102</v>
      </c>
      <c r="D16" s="166" t="s">
        <v>101</v>
      </c>
      <c r="E16" s="171" t="s">
        <v>67</v>
      </c>
      <c r="F16" s="6" t="s">
        <v>32</v>
      </c>
      <c r="G16" s="3" t="s">
        <v>41</v>
      </c>
      <c r="H16" s="33" t="s">
        <v>41</v>
      </c>
      <c r="I16" s="80">
        <v>58.3</v>
      </c>
      <c r="J16" s="259">
        <v>0</v>
      </c>
      <c r="K16" s="259"/>
      <c r="L16" s="81">
        <v>0</v>
      </c>
      <c r="M16" s="43">
        <v>241.77199999999999</v>
      </c>
      <c r="N16" s="259">
        <v>0</v>
      </c>
      <c r="O16" s="260"/>
      <c r="P16" s="81">
        <v>0</v>
      </c>
      <c r="Q16" s="18" t="s">
        <v>103</v>
      </c>
      <c r="R16" s="78" t="s">
        <v>104</v>
      </c>
      <c r="S16" s="24">
        <f>_xlfn.XLOOKUP(R16,Table5[Analysis],Table5[2023/24 Value],0)</f>
        <v>93.316199999999995</v>
      </c>
      <c r="T16" s="77" t="str">
        <f>_xlfn.XLOOKUP(R16,Table5[Analysis],Table5[Units],0)</f>
        <v>£/MWh</v>
      </c>
      <c r="U16" s="68">
        <f>0.15/1000</f>
        <v>1.4999999999999999E-4</v>
      </c>
      <c r="V16" s="90" t="s">
        <v>105</v>
      </c>
      <c r="W16" s="2"/>
      <c r="X16" s="159">
        <f t="shared" si="10"/>
        <v>0.81605016899999983</v>
      </c>
      <c r="Y16" s="160">
        <f t="shared" si="11"/>
        <v>0</v>
      </c>
      <c r="Z16" s="158">
        <f t="shared" si="12"/>
        <v>0</v>
      </c>
      <c r="AA16" s="157">
        <f t="shared" si="13"/>
        <v>0.81605016899999983</v>
      </c>
      <c r="AB16" s="76"/>
      <c r="AC16" s="159">
        <f t="shared" si="14"/>
        <v>3.384186645959999</v>
      </c>
      <c r="AD16" s="160">
        <f t="shared" si="15"/>
        <v>0</v>
      </c>
      <c r="AE16" s="158">
        <f t="shared" si="16"/>
        <v>0</v>
      </c>
      <c r="AF16" s="157">
        <f t="shared" si="17"/>
        <v>3.384186645959999</v>
      </c>
      <c r="AG16" s="127"/>
      <c r="AH16" s="159">
        <f t="shared" si="18"/>
        <v>4.2002368149599985</v>
      </c>
      <c r="AI16" s="160">
        <f t="shared" si="19"/>
        <v>0</v>
      </c>
      <c r="AJ16" s="158">
        <f t="shared" si="20"/>
        <v>0</v>
      </c>
      <c r="AK16" s="157">
        <f t="shared" si="21"/>
        <v>4.2002368149599985</v>
      </c>
    </row>
    <row r="17" spans="3:37" ht="60">
      <c r="C17" s="170" t="s">
        <v>106</v>
      </c>
      <c r="D17" s="166" t="s">
        <v>30</v>
      </c>
      <c r="E17" s="171" t="s">
        <v>67</v>
      </c>
      <c r="F17" s="6" t="s">
        <v>41</v>
      </c>
      <c r="G17" s="3" t="s">
        <v>32</v>
      </c>
      <c r="H17" s="33" t="s">
        <v>41</v>
      </c>
      <c r="I17" s="78">
        <v>0</v>
      </c>
      <c r="J17" s="260">
        <v>1045.82</v>
      </c>
      <c r="K17" s="264"/>
      <c r="L17" s="87">
        <v>0</v>
      </c>
      <c r="M17" s="12">
        <v>0</v>
      </c>
      <c r="N17" s="257">
        <v>70</v>
      </c>
      <c r="O17" s="258"/>
      <c r="P17" s="87">
        <v>0</v>
      </c>
      <c r="Q17" s="18" t="s">
        <v>95</v>
      </c>
      <c r="R17" s="78" t="s">
        <v>96</v>
      </c>
      <c r="S17" s="52">
        <f>_xlfn.XLOOKUP(R17,Table5[Analysis],Table5[2023/24 Value],0)</f>
        <v>100</v>
      </c>
      <c r="T17" s="77" t="str">
        <f>_xlfn.XLOOKUP(R17,Table5[Analysis],Table5[Units],0)</f>
        <v>£/MWh</v>
      </c>
      <c r="U17" s="89">
        <f>0.1*8760*1/10^6</f>
        <v>8.7600000000000004E-4</v>
      </c>
      <c r="V17" s="90" t="s">
        <v>107</v>
      </c>
      <c r="W17" s="2"/>
      <c r="X17" s="159">
        <f t="shared" si="10"/>
        <v>0</v>
      </c>
      <c r="Y17" s="160">
        <f t="shared" si="11"/>
        <v>91.613832000000002</v>
      </c>
      <c r="Z17" s="158">
        <f t="shared" si="12"/>
        <v>0</v>
      </c>
      <c r="AA17" s="157">
        <f t="shared" si="13"/>
        <v>91.613832000000002</v>
      </c>
      <c r="AB17" s="76"/>
      <c r="AC17" s="159">
        <f t="shared" si="14"/>
        <v>0</v>
      </c>
      <c r="AD17" s="160">
        <f t="shared" si="15"/>
        <v>6.1320000000000006</v>
      </c>
      <c r="AE17" s="158">
        <f t="shared" si="16"/>
        <v>0</v>
      </c>
      <c r="AF17" s="157">
        <f t="shared" si="17"/>
        <v>6.1320000000000006</v>
      </c>
      <c r="AG17" s="127"/>
      <c r="AH17" s="159">
        <f t="shared" si="18"/>
        <v>0</v>
      </c>
      <c r="AI17" s="160">
        <f t="shared" si="19"/>
        <v>97.745832000000007</v>
      </c>
      <c r="AJ17" s="158">
        <f t="shared" si="20"/>
        <v>0</v>
      </c>
      <c r="AK17" s="157">
        <f t="shared" si="21"/>
        <v>97.745832000000007</v>
      </c>
    </row>
    <row r="18" spans="3:37">
      <c r="C18" s="170" t="s">
        <v>108</v>
      </c>
      <c r="D18" s="166" t="s">
        <v>109</v>
      </c>
      <c r="E18" s="171" t="s">
        <v>67</v>
      </c>
      <c r="F18" s="6" t="s">
        <v>32</v>
      </c>
      <c r="G18" s="3" t="s">
        <v>41</v>
      </c>
      <c r="H18" s="33" t="s">
        <v>41</v>
      </c>
      <c r="I18" s="78">
        <v>0.85199999999999998</v>
      </c>
      <c r="J18" s="243">
        <v>0</v>
      </c>
      <c r="K18" s="243"/>
      <c r="L18" s="77">
        <v>0</v>
      </c>
      <c r="M18" s="12">
        <v>0.65500000000000003</v>
      </c>
      <c r="N18" s="243">
        <v>0</v>
      </c>
      <c r="O18" s="243"/>
      <c r="P18" s="77">
        <v>0</v>
      </c>
      <c r="Q18" s="29" t="s">
        <v>90</v>
      </c>
      <c r="R18" s="78" t="s">
        <v>49</v>
      </c>
      <c r="S18" s="52">
        <f>_xlfn.XLOOKUP(R18,Table5[Analysis],Table5[2023/24 Value],0)</f>
        <v>1</v>
      </c>
      <c r="T18" s="77" t="str">
        <f>_xlfn.XLOOKUP(R18,Table5[Analysis],Table5[Units],0)</f>
        <v>N/A</v>
      </c>
      <c r="U18" s="66">
        <v>1</v>
      </c>
      <c r="V18" s="90"/>
      <c r="W18" s="2"/>
      <c r="X18" s="159">
        <f t="shared" si="10"/>
        <v>0.85199999999999998</v>
      </c>
      <c r="Y18" s="160">
        <f t="shared" si="11"/>
        <v>0</v>
      </c>
      <c r="Z18" s="158">
        <f t="shared" si="12"/>
        <v>0</v>
      </c>
      <c r="AA18" s="157">
        <f t="shared" si="13"/>
        <v>0.85199999999999998</v>
      </c>
      <c r="AB18" s="76"/>
      <c r="AC18" s="159">
        <f t="shared" si="14"/>
        <v>0.65500000000000003</v>
      </c>
      <c r="AD18" s="160">
        <f t="shared" si="15"/>
        <v>0</v>
      </c>
      <c r="AE18" s="158">
        <f t="shared" si="16"/>
        <v>0</v>
      </c>
      <c r="AF18" s="157">
        <f t="shared" si="17"/>
        <v>0.65500000000000003</v>
      </c>
      <c r="AG18" s="127"/>
      <c r="AH18" s="159">
        <f t="shared" si="18"/>
        <v>1.5070000000000001</v>
      </c>
      <c r="AI18" s="160">
        <f t="shared" si="19"/>
        <v>0</v>
      </c>
      <c r="AJ18" s="158">
        <f t="shared" si="20"/>
        <v>0</v>
      </c>
      <c r="AK18" s="157">
        <f t="shared" si="21"/>
        <v>1.5070000000000001</v>
      </c>
    </row>
    <row r="19" spans="3:37" ht="30">
      <c r="C19" s="170" t="s">
        <v>110</v>
      </c>
      <c r="D19" s="166" t="s">
        <v>30</v>
      </c>
      <c r="E19" s="171" t="s">
        <v>31</v>
      </c>
      <c r="F19" s="6" t="s">
        <v>32</v>
      </c>
      <c r="G19" s="3" t="s">
        <v>41</v>
      </c>
      <c r="H19" s="33" t="s">
        <v>41</v>
      </c>
      <c r="I19" s="82">
        <f>Carbon!AB6*1000</f>
        <v>770.66401253784397</v>
      </c>
      <c r="J19" s="243">
        <v>0</v>
      </c>
      <c r="K19" s="243"/>
      <c r="L19" s="77">
        <v>0</v>
      </c>
      <c r="M19" s="45">
        <f>Carbon!AH6*1000</f>
        <v>1123.6154618094822</v>
      </c>
      <c r="N19" s="243">
        <v>0</v>
      </c>
      <c r="O19" s="243"/>
      <c r="P19" s="77">
        <v>0</v>
      </c>
      <c r="Q19" s="18" t="s">
        <v>111</v>
      </c>
      <c r="R19" s="78" t="s">
        <v>112</v>
      </c>
      <c r="S19" s="26">
        <f>_xlfn.XLOOKUP(R19,Table5[Analysis],Table5[2023/24 Value],0)</f>
        <v>264.9342024</v>
      </c>
      <c r="T19" s="77" t="str">
        <f>_xlfn.XLOOKUP(R19,Table5[Analysis],Table5[Units],0)</f>
        <v>£/tCO2e</v>
      </c>
      <c r="U19" s="89">
        <f>1/10^6</f>
        <v>9.9999999999999995E-7</v>
      </c>
      <c r="V19" s="90" t="s">
        <v>113</v>
      </c>
      <c r="W19" s="2"/>
      <c r="X19" s="159">
        <f t="shared" si="10"/>
        <v>0.20417525548009727</v>
      </c>
      <c r="Y19" s="160">
        <f t="shared" si="11"/>
        <v>0</v>
      </c>
      <c r="Z19" s="158">
        <f t="shared" si="12"/>
        <v>0</v>
      </c>
      <c r="AA19" s="157">
        <f t="shared" si="13"/>
        <v>0.20417525548009727</v>
      </c>
      <c r="AB19" s="76"/>
      <c r="AC19" s="159">
        <f t="shared" si="14"/>
        <v>0.29768416617880283</v>
      </c>
      <c r="AD19" s="160">
        <f t="shared" si="15"/>
        <v>0</v>
      </c>
      <c r="AE19" s="158">
        <f t="shared" si="16"/>
        <v>0</v>
      </c>
      <c r="AF19" s="157">
        <f t="shared" si="17"/>
        <v>0.29768416617880283</v>
      </c>
      <c r="AG19" s="127"/>
      <c r="AH19" s="159">
        <f t="shared" si="18"/>
        <v>0.50185942165890007</v>
      </c>
      <c r="AI19" s="160">
        <f t="shared" si="19"/>
        <v>0</v>
      </c>
      <c r="AJ19" s="158">
        <f t="shared" si="20"/>
        <v>0</v>
      </c>
      <c r="AK19" s="157">
        <f t="shared" si="21"/>
        <v>0.50185942165890007</v>
      </c>
    </row>
    <row r="20" spans="3:37" ht="30">
      <c r="C20" s="170" t="s">
        <v>114</v>
      </c>
      <c r="D20" s="166" t="s">
        <v>109</v>
      </c>
      <c r="E20" s="171" t="s">
        <v>67</v>
      </c>
      <c r="F20" s="6" t="s">
        <v>41</v>
      </c>
      <c r="G20" s="3" t="s">
        <v>32</v>
      </c>
      <c r="H20" s="33" t="s">
        <v>41</v>
      </c>
      <c r="I20" s="78">
        <v>0</v>
      </c>
      <c r="J20" s="243">
        <v>0</v>
      </c>
      <c r="K20" s="243"/>
      <c r="L20" s="77">
        <v>0</v>
      </c>
      <c r="M20" s="12">
        <v>0</v>
      </c>
      <c r="N20" s="261">
        <v>9.9199237499999995E-2</v>
      </c>
      <c r="O20" s="262"/>
      <c r="P20" s="77">
        <v>0</v>
      </c>
      <c r="Q20" s="29" t="s">
        <v>90</v>
      </c>
      <c r="R20" s="78" t="s">
        <v>49</v>
      </c>
      <c r="S20" s="52">
        <f>_xlfn.XLOOKUP(R20,Table5[Analysis],Table5[2023/24 Value],0)</f>
        <v>1</v>
      </c>
      <c r="T20" s="77" t="str">
        <f>_xlfn.XLOOKUP(R20,Table5[Analysis],Table5[Units],0)</f>
        <v>N/A</v>
      </c>
      <c r="U20" s="66">
        <v>1</v>
      </c>
      <c r="V20" s="90"/>
      <c r="W20" s="2"/>
      <c r="X20" s="159">
        <f t="shared" si="10"/>
        <v>0</v>
      </c>
      <c r="Y20" s="160">
        <f t="shared" si="11"/>
        <v>0</v>
      </c>
      <c r="Z20" s="158">
        <f t="shared" si="12"/>
        <v>0</v>
      </c>
      <c r="AA20" s="157">
        <f t="shared" si="13"/>
        <v>0</v>
      </c>
      <c r="AB20" s="76"/>
      <c r="AC20" s="159">
        <f t="shared" si="14"/>
        <v>0</v>
      </c>
      <c r="AD20" s="160">
        <f t="shared" si="15"/>
        <v>9.9199237499999995E-2</v>
      </c>
      <c r="AE20" s="158">
        <f t="shared" si="16"/>
        <v>0</v>
      </c>
      <c r="AF20" s="157">
        <f t="shared" si="17"/>
        <v>9.9199237499999995E-2</v>
      </c>
      <c r="AG20" s="127"/>
      <c r="AH20" s="159">
        <f t="shared" si="18"/>
        <v>0</v>
      </c>
      <c r="AI20" s="160">
        <f t="shared" si="19"/>
        <v>9.9199237499999995E-2</v>
      </c>
      <c r="AJ20" s="158">
        <f t="shared" si="20"/>
        <v>0</v>
      </c>
      <c r="AK20" s="157">
        <f t="shared" si="21"/>
        <v>9.9199237499999995E-2</v>
      </c>
    </row>
    <row r="21" spans="3:37" ht="45">
      <c r="C21" s="170" t="s">
        <v>115</v>
      </c>
      <c r="D21" s="166" t="s">
        <v>79</v>
      </c>
      <c r="E21" s="171" t="s">
        <v>67</v>
      </c>
      <c r="F21" s="6" t="s">
        <v>32</v>
      </c>
      <c r="G21" s="3" t="s">
        <v>41</v>
      </c>
      <c r="H21" s="33" t="s">
        <v>41</v>
      </c>
      <c r="I21" s="42">
        <v>64.983000000000004</v>
      </c>
      <c r="J21" s="257">
        <v>0</v>
      </c>
      <c r="K21" s="258"/>
      <c r="L21" s="53">
        <v>0</v>
      </c>
      <c r="M21" s="85">
        <v>0</v>
      </c>
      <c r="N21" s="257">
        <v>0</v>
      </c>
      <c r="O21" s="258"/>
      <c r="P21" s="87">
        <v>0</v>
      </c>
      <c r="Q21" s="29" t="s">
        <v>90</v>
      </c>
      <c r="R21" s="32" t="s">
        <v>49</v>
      </c>
      <c r="S21" s="46">
        <f>_xlfn.XLOOKUP(R21,Table5[Analysis],Table5[2023/24 Value],0)</f>
        <v>1</v>
      </c>
      <c r="T21" s="77" t="str">
        <f>_xlfn.XLOOKUP(R21,Table5[Analysis],Table5[Units],0)</f>
        <v>N/A</v>
      </c>
      <c r="U21" s="66">
        <v>1</v>
      </c>
      <c r="V21" s="90"/>
      <c r="W21" s="2"/>
      <c r="X21" s="159">
        <f t="shared" si="10"/>
        <v>64.983000000000004</v>
      </c>
      <c r="Y21" s="160">
        <f t="shared" si="11"/>
        <v>0</v>
      </c>
      <c r="Z21" s="158">
        <f t="shared" si="12"/>
        <v>0</v>
      </c>
      <c r="AA21" s="157">
        <f t="shared" si="13"/>
        <v>64.983000000000004</v>
      </c>
      <c r="AB21" s="76"/>
      <c r="AC21" s="159">
        <f t="shared" si="14"/>
        <v>0</v>
      </c>
      <c r="AD21" s="160">
        <f t="shared" si="15"/>
        <v>0</v>
      </c>
      <c r="AE21" s="158">
        <f t="shared" si="16"/>
        <v>0</v>
      </c>
      <c r="AF21" s="157">
        <f t="shared" si="17"/>
        <v>0</v>
      </c>
      <c r="AG21" s="127"/>
      <c r="AH21" s="159">
        <f t="shared" si="18"/>
        <v>64.983000000000004</v>
      </c>
      <c r="AI21" s="160">
        <f t="shared" si="19"/>
        <v>0</v>
      </c>
      <c r="AJ21" s="158">
        <f t="shared" si="20"/>
        <v>0</v>
      </c>
      <c r="AK21" s="157">
        <f t="shared" si="21"/>
        <v>64.983000000000004</v>
      </c>
    </row>
    <row r="22" spans="3:37" ht="45.75" thickBot="1">
      <c r="C22" s="172" t="s">
        <v>116</v>
      </c>
      <c r="D22" s="173" t="s">
        <v>79</v>
      </c>
      <c r="E22" s="174" t="s">
        <v>67</v>
      </c>
      <c r="F22" s="37" t="s">
        <v>32</v>
      </c>
      <c r="G22" s="34" t="s">
        <v>41</v>
      </c>
      <c r="H22" s="35" t="s">
        <v>32</v>
      </c>
      <c r="I22" s="84">
        <v>0</v>
      </c>
      <c r="J22" s="263">
        <v>0</v>
      </c>
      <c r="K22" s="263"/>
      <c r="L22" s="44">
        <v>68.835999999999999</v>
      </c>
      <c r="M22" s="11">
        <v>3.29</v>
      </c>
      <c r="N22" s="255">
        <v>0</v>
      </c>
      <c r="O22" s="256"/>
      <c r="P22" s="83">
        <v>0</v>
      </c>
      <c r="Q22" s="27" t="s">
        <v>90</v>
      </c>
      <c r="R22" s="84" t="s">
        <v>93</v>
      </c>
      <c r="S22" s="47">
        <f>_xlfn.XLOOKUP(R22,Table5[Analysis],Table5[2023/24 Value],0)</f>
        <v>0.5</v>
      </c>
      <c r="T22" s="83" t="str">
        <f>_xlfn.XLOOKUP(R22,Table5[Analysis],Table5[Units],0)</f>
        <v>N/A</v>
      </c>
      <c r="U22" s="69">
        <v>1</v>
      </c>
      <c r="V22" s="70"/>
      <c r="W22" s="2"/>
      <c r="X22" s="61">
        <f t="shared" si="10"/>
        <v>0</v>
      </c>
      <c r="Y22" s="62">
        <f t="shared" si="11"/>
        <v>0</v>
      </c>
      <c r="Z22" s="63">
        <f t="shared" si="12"/>
        <v>34.417999999999999</v>
      </c>
      <c r="AA22" s="72">
        <f t="shared" si="13"/>
        <v>34.417999999999999</v>
      </c>
      <c r="AB22" s="76"/>
      <c r="AC22" s="61">
        <f t="shared" si="14"/>
        <v>1.645</v>
      </c>
      <c r="AD22" s="62">
        <f t="shared" si="15"/>
        <v>0</v>
      </c>
      <c r="AE22" s="63">
        <f t="shared" si="16"/>
        <v>0</v>
      </c>
      <c r="AF22" s="72">
        <f t="shared" si="17"/>
        <v>1.645</v>
      </c>
      <c r="AG22" s="127"/>
      <c r="AH22" s="61">
        <f t="shared" si="18"/>
        <v>1.645</v>
      </c>
      <c r="AI22" s="62">
        <f t="shared" si="19"/>
        <v>0</v>
      </c>
      <c r="AJ22" s="63">
        <f t="shared" si="20"/>
        <v>34.417999999999999</v>
      </c>
      <c r="AK22" s="72">
        <f t="shared" si="21"/>
        <v>36.063000000000002</v>
      </c>
    </row>
    <row r="23" spans="3:37">
      <c r="C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30"/>
      <c r="T23" s="2"/>
      <c r="U23" s="31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5" spans="3:37">
      <c r="AK25" s="1"/>
    </row>
  </sheetData>
  <autoFilter ref="C2:AK22" xr:uid="{2C71A773-5453-40AF-A5A6-B2287DEF1CFC}">
    <filterColumn colId="7" showButton="0"/>
    <filterColumn colId="11" showButton="0"/>
  </autoFilter>
  <mergeCells count="70">
    <mergeCell ref="AH1:AK1"/>
    <mergeCell ref="AH12:AH13"/>
    <mergeCell ref="AI12:AI13"/>
    <mergeCell ref="AJ12:AJ13"/>
    <mergeCell ref="AF12:AF13"/>
    <mergeCell ref="AK12:AK13"/>
    <mergeCell ref="AG12:AG13"/>
    <mergeCell ref="AA12:AA13"/>
    <mergeCell ref="AB12:AB13"/>
    <mergeCell ref="X1:AA1"/>
    <mergeCell ref="AC1:AF1"/>
    <mergeCell ref="W12:W13"/>
    <mergeCell ref="AE12:AE13"/>
    <mergeCell ref="X12:X13"/>
    <mergeCell ref="Y12:Y13"/>
    <mergeCell ref="Z12:Z13"/>
    <mergeCell ref="AC12:AC13"/>
    <mergeCell ref="AD12:AD13"/>
    <mergeCell ref="N17:O17"/>
    <mergeCell ref="N3:O3"/>
    <mergeCell ref="N6:O6"/>
    <mergeCell ref="N18:O18"/>
    <mergeCell ref="N7:O7"/>
    <mergeCell ref="N8:O8"/>
    <mergeCell ref="N9:O9"/>
    <mergeCell ref="N10:O10"/>
    <mergeCell ref="N11:O11"/>
    <mergeCell ref="J22:K22"/>
    <mergeCell ref="J10:K10"/>
    <mergeCell ref="J11:K11"/>
    <mergeCell ref="J14:K14"/>
    <mergeCell ref="J15:K15"/>
    <mergeCell ref="J16:K16"/>
    <mergeCell ref="J17:K17"/>
    <mergeCell ref="J18:K18"/>
    <mergeCell ref="J19:K19"/>
    <mergeCell ref="J20:K20"/>
    <mergeCell ref="N22:O22"/>
    <mergeCell ref="N15:O15"/>
    <mergeCell ref="N16:O16"/>
    <mergeCell ref="J5:K5"/>
    <mergeCell ref="N4:O4"/>
    <mergeCell ref="N5:O5"/>
    <mergeCell ref="J6:K6"/>
    <mergeCell ref="J7:K7"/>
    <mergeCell ref="J8:K8"/>
    <mergeCell ref="J9:K9"/>
    <mergeCell ref="J21:K21"/>
    <mergeCell ref="N21:O21"/>
    <mergeCell ref="N19:O19"/>
    <mergeCell ref="N20:O20"/>
    <mergeCell ref="N14:O14"/>
    <mergeCell ref="J4:K4"/>
    <mergeCell ref="R1:T1"/>
    <mergeCell ref="J2:K2"/>
    <mergeCell ref="J3:K3"/>
    <mergeCell ref="N2:O2"/>
    <mergeCell ref="I1:L1"/>
    <mergeCell ref="M1:P1"/>
    <mergeCell ref="C12:C13"/>
    <mergeCell ref="D12:D13"/>
    <mergeCell ref="F12:F13"/>
    <mergeCell ref="G12:G13"/>
    <mergeCell ref="H12:H13"/>
    <mergeCell ref="E12:E13"/>
    <mergeCell ref="R12:R13"/>
    <mergeCell ref="S12:S13"/>
    <mergeCell ref="T12:T13"/>
    <mergeCell ref="U12:U13"/>
    <mergeCell ref="V12:V13"/>
  </mergeCells>
  <conditionalFormatting sqref="M23:N23 F23:J23 P23:AF23 F14:H22 F3:H12 AB14:AB22">
    <cfRule type="expression" dxfId="8" priority="20">
      <formula>ISNUMBER(SEARCH("Yes",F3))</formula>
    </cfRule>
    <cfRule type="expression" dxfId="7" priority="21">
      <formula>ISNUMBER(SEARCH("No ",F3))</formula>
    </cfRule>
  </conditionalFormatting>
  <conditionalFormatting sqref="AB11">
    <cfRule type="expression" dxfId="6" priority="1">
      <formula>ISNUMBER(SEARCH("Yes",AB11))</formula>
    </cfRule>
    <cfRule type="expression" dxfId="5" priority="2">
      <formula>ISNUMBER(SEARCH("No ",AB11))</formula>
    </cfRule>
  </conditionalFormatting>
  <dataValidations count="1">
    <dataValidation allowBlank="1" showInputMessage="1" showErrorMessage="1" sqref="N3:N11 L3:L11 L17 P3:P15 N12:O13 P17 P20:P23 N14:N23 M3:M23 I3:J23 Q3:Q23 AF2:AF12 S3:AA12 AH3:AK12 AA2 AB1:AB11 AK2 AC3:AE12 S14:AF23 AH14:AK22" xr:uid="{B913F65C-4C33-4742-8099-1EB854ABDEC3}"/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D2033F-28C9-4F17-8F5E-3CFE062D339A}">
          <x14:formula1>
            <xm:f>Dropdowns!$G$2:$G$4</xm:f>
          </x14:formula1>
          <xm:sqref>F14:H23 F3:H12</xm:sqref>
        </x14:dataValidation>
        <x14:dataValidation type="list" allowBlank="1" showInputMessage="1" showErrorMessage="1" xr:uid="{3780FC54-89ED-496C-8E2A-118B8BA730E9}">
          <x14:formula1>
            <xm:f>'Financial Conversion Factors'!$A$2:$A$11</xm:f>
          </x14:formula1>
          <xm:sqref>R3:R12 R14:R23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92AD-EF67-4E8D-8319-E2D0E265AEA3}">
  <dimension ref="A1:F11"/>
  <sheetViews>
    <sheetView workbookViewId="0">
      <selection activeCell="K21" sqref="K21"/>
    </sheetView>
  </sheetViews>
  <sheetFormatPr defaultRowHeight="15"/>
  <cols>
    <col min="1" max="1" width="40" bestFit="1" customWidth="1"/>
    <col min="2" max="3" width="12.28515625" bestFit="1" customWidth="1"/>
    <col min="4" max="4" width="19.140625" bestFit="1" customWidth="1"/>
    <col min="5" max="5" width="16.140625" bestFit="1" customWidth="1"/>
    <col min="6" max="6" width="13.28515625" bestFit="1" customWidth="1"/>
  </cols>
  <sheetData>
    <row r="1" spans="1:6">
      <c r="A1" t="s">
        <v>117</v>
      </c>
      <c r="B1" t="s">
        <v>18</v>
      </c>
      <c r="C1" t="s">
        <v>118</v>
      </c>
      <c r="D1" t="s">
        <v>3</v>
      </c>
      <c r="E1" t="s">
        <v>119</v>
      </c>
      <c r="F1" t="s">
        <v>19</v>
      </c>
    </row>
    <row r="2" spans="1:6">
      <c r="A2" t="s">
        <v>69</v>
      </c>
      <c r="B2" s="38">
        <v>0.425487</v>
      </c>
      <c r="C2" s="38" t="s">
        <v>11</v>
      </c>
      <c r="D2" s="38">
        <v>1</v>
      </c>
      <c r="E2" s="39">
        <f>Table5[[#This Row],[Value]]*Table5[[#This Row],[Conversion Factor]]</f>
        <v>0.425487</v>
      </c>
      <c r="F2" s="38" t="s">
        <v>120</v>
      </c>
    </row>
    <row r="3" spans="1:6">
      <c r="A3" t="s">
        <v>72</v>
      </c>
      <c r="B3" s="38">
        <v>57.118068000000001</v>
      </c>
      <c r="C3" s="38" t="s">
        <v>11</v>
      </c>
      <c r="D3" s="38">
        <v>1</v>
      </c>
      <c r="E3" s="39">
        <f>Table5[[#This Row],[Value]]*Table5[[#This Row],[Conversion Factor]]</f>
        <v>57.118068000000001</v>
      </c>
      <c r="F3" s="38" t="s">
        <v>120</v>
      </c>
    </row>
    <row r="4" spans="1:6">
      <c r="A4" t="s">
        <v>76</v>
      </c>
      <c r="B4" s="38">
        <v>8.6870000000000003E-3</v>
      </c>
      <c r="C4" s="38" t="s">
        <v>11</v>
      </c>
      <c r="D4" s="38">
        <v>1</v>
      </c>
      <c r="E4" s="39">
        <f>Table5[[#This Row],[Value]]*Table5[[#This Row],[Conversion Factor]]</f>
        <v>8.6870000000000003E-3</v>
      </c>
      <c r="F4" s="38" t="s">
        <v>121</v>
      </c>
    </row>
    <row r="5" spans="1:6">
      <c r="A5" t="s">
        <v>49</v>
      </c>
      <c r="B5" s="38">
        <v>1</v>
      </c>
      <c r="C5" s="38" t="s">
        <v>11</v>
      </c>
      <c r="D5" s="38">
        <v>1</v>
      </c>
      <c r="E5" s="49">
        <f>Table5[[#This Row],[Value]]*Table5[[#This Row],[Conversion Factor]]</f>
        <v>1</v>
      </c>
      <c r="F5" s="38" t="s">
        <v>33</v>
      </c>
    </row>
    <row r="6" spans="1:6">
      <c r="A6" t="s">
        <v>81</v>
      </c>
      <c r="B6" s="38">
        <v>0.39799899999999999</v>
      </c>
      <c r="C6" s="38">
        <v>2022</v>
      </c>
      <c r="D6" s="40">
        <v>1.0726</v>
      </c>
      <c r="E6" s="39">
        <f>Table5[[#This Row],[Value]]*Table5[[#This Row],[Conversion Factor]]</f>
        <v>0.42689372739999998</v>
      </c>
      <c r="F6" s="38" t="s">
        <v>122</v>
      </c>
    </row>
    <row r="7" spans="1:6">
      <c r="A7" t="s">
        <v>86</v>
      </c>
      <c r="B7" s="38">
        <v>0.30404700000000001</v>
      </c>
      <c r="C7" s="38">
        <v>2022</v>
      </c>
      <c r="D7" s="40">
        <v>1.0726</v>
      </c>
      <c r="E7" s="39">
        <f>Table5[[#This Row],[Value]]*Table5[[#This Row],[Conversion Factor]]</f>
        <v>0.3261208122</v>
      </c>
      <c r="F7" s="38" t="s">
        <v>122</v>
      </c>
    </row>
    <row r="8" spans="1:6">
      <c r="A8" t="s">
        <v>104</v>
      </c>
      <c r="B8" s="38">
        <v>87</v>
      </c>
      <c r="C8" s="38">
        <v>2022</v>
      </c>
      <c r="D8" s="40">
        <v>1.0726</v>
      </c>
      <c r="E8" s="48">
        <f>Table5[[#This Row],[Value]]*Table5[[#This Row],[Conversion Factor]]</f>
        <v>93.316199999999995</v>
      </c>
      <c r="F8" s="38" t="s">
        <v>123</v>
      </c>
    </row>
    <row r="9" spans="1:6">
      <c r="A9" t="s">
        <v>96</v>
      </c>
      <c r="B9" s="38">
        <v>100</v>
      </c>
      <c r="C9" s="38" t="s">
        <v>11</v>
      </c>
      <c r="D9" s="38">
        <v>1</v>
      </c>
      <c r="E9" s="49">
        <f>Table5[[#This Row],[Value]]*Table5[[#This Row],[Conversion Factor]]</f>
        <v>100</v>
      </c>
      <c r="F9" s="38" t="s">
        <v>123</v>
      </c>
    </row>
    <row r="10" spans="1:6">
      <c r="A10" t="s">
        <v>93</v>
      </c>
      <c r="B10" s="41">
        <v>0.5</v>
      </c>
      <c r="C10" s="38" t="s">
        <v>33</v>
      </c>
      <c r="D10" s="38">
        <v>1</v>
      </c>
      <c r="E10" s="41">
        <f>Table5[[#This Row],[Value]]*Table5[[#This Row],[Conversion Factor]]</f>
        <v>0.5</v>
      </c>
      <c r="F10" s="38" t="s">
        <v>33</v>
      </c>
    </row>
    <row r="11" spans="1:6">
      <c r="A11" t="s">
        <v>112</v>
      </c>
      <c r="B11" s="38">
        <v>264.9342024</v>
      </c>
      <c r="C11" s="38">
        <v>2023</v>
      </c>
      <c r="D11" s="38">
        <v>1</v>
      </c>
      <c r="E11" s="48">
        <f>Table5[[#This Row],[Value]]*Table5[[#This Row],[Conversion Factor]]</f>
        <v>264.9342024</v>
      </c>
      <c r="F11" s="38" t="s">
        <v>124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F3DA-227F-4A0E-999E-94B249CEF652}">
  <dimension ref="A1:G8"/>
  <sheetViews>
    <sheetView workbookViewId="0">
      <selection activeCell="C4" sqref="C4"/>
    </sheetView>
  </sheetViews>
  <sheetFormatPr defaultRowHeight="15"/>
  <cols>
    <col min="1" max="1" width="17.42578125" bestFit="1" customWidth="1"/>
    <col min="3" max="3" width="30.28515625" bestFit="1" customWidth="1"/>
    <col min="5" max="5" width="31.85546875" bestFit="1" customWidth="1"/>
    <col min="7" max="7" width="14.85546875" bestFit="1" customWidth="1"/>
  </cols>
  <sheetData>
    <row r="1" spans="1:7">
      <c r="A1" t="s">
        <v>125</v>
      </c>
      <c r="C1" t="s">
        <v>125</v>
      </c>
      <c r="E1" t="s">
        <v>125</v>
      </c>
      <c r="G1" t="s">
        <v>125</v>
      </c>
    </row>
    <row r="2" spans="1:7">
      <c r="A2" t="s">
        <v>32</v>
      </c>
      <c r="C2" t="s">
        <v>126</v>
      </c>
      <c r="E2" t="s">
        <v>127</v>
      </c>
      <c r="G2" t="s">
        <v>32</v>
      </c>
    </row>
    <row r="3" spans="1:7">
      <c r="A3" t="s">
        <v>41</v>
      </c>
      <c r="C3" s="7" t="s">
        <v>128</v>
      </c>
      <c r="E3" t="s">
        <v>129</v>
      </c>
      <c r="G3" t="s">
        <v>41</v>
      </c>
    </row>
    <row r="4" spans="1:7">
      <c r="A4" t="s">
        <v>130</v>
      </c>
      <c r="C4" t="s">
        <v>131</v>
      </c>
      <c r="E4" t="s">
        <v>132</v>
      </c>
      <c r="G4" t="s">
        <v>133</v>
      </c>
    </row>
    <row r="5" spans="1:7">
      <c r="A5" t="s">
        <v>134</v>
      </c>
      <c r="C5" t="s">
        <v>135</v>
      </c>
      <c r="E5" t="s">
        <v>136</v>
      </c>
    </row>
    <row r="6" spans="1:7">
      <c r="C6" t="s">
        <v>137</v>
      </c>
      <c r="E6" t="s">
        <v>101</v>
      </c>
    </row>
    <row r="7" spans="1:7">
      <c r="C7" t="s">
        <v>138</v>
      </c>
      <c r="E7" t="s">
        <v>139</v>
      </c>
    </row>
    <row r="8" spans="1:7">
      <c r="E8" t="s">
        <v>33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97BD2561F69E48832AF6BB01C4068C" ma:contentTypeVersion="15" ma:contentTypeDescription="Create a new document." ma:contentTypeScope="" ma:versionID="bee5f898b32f80565df235053a3d6ae9">
  <xsd:schema xmlns:xsd="http://www.w3.org/2001/XMLSchema" xmlns:xs="http://www.w3.org/2001/XMLSchema" xmlns:p="http://schemas.microsoft.com/office/2006/metadata/properties" xmlns:ns2="1e9907a5-dcaa-49d2-a29c-aa7bf0bfb0cb" xmlns:ns3="81e0b2ad-9065-4550-8548-d41d5bde7f34" targetNamespace="http://schemas.microsoft.com/office/2006/metadata/properties" ma:root="true" ma:fieldsID="a3085cccbef95ec1b1ee3e3e72c3165e" ns2:_="" ns3:_="">
    <xsd:import namespace="1e9907a5-dcaa-49d2-a29c-aa7bf0bfb0cb"/>
    <xsd:import namespace="81e0b2ad-9065-4550-8548-d41d5bde7f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907a5-dcaa-49d2-a29c-aa7bf0bfb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0b2ad-9065-4550-8548-d41d5bde7f3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e812935-045b-4ec8-889c-8220ea3a0100}" ma:internalName="TaxCatchAll" ma:showField="CatchAllData" ma:web="81e0b2ad-9065-4550-8548-d41d5bde7f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9907a5-dcaa-49d2-a29c-aa7bf0bfb0cb">
      <Terms xmlns="http://schemas.microsoft.com/office/infopath/2007/PartnerControls"/>
    </lcf76f155ced4ddcb4097134ff3c332f>
    <TaxCatchAll xmlns="81e0b2ad-9065-4550-8548-d41d5bde7f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F750DA-8E43-4244-B49E-9455F169AF9C}"/>
</file>

<file path=customXml/itemProps2.xml><?xml version="1.0" encoding="utf-8"?>
<ds:datastoreItem xmlns:ds="http://schemas.openxmlformats.org/officeDocument/2006/customXml" ds:itemID="{B8F6EF6A-AEB4-470E-9517-42935902EBF6}"/>
</file>

<file path=customXml/itemProps3.xml><?xml version="1.0" encoding="utf-8"?>
<ds:datastoreItem xmlns:ds="http://schemas.openxmlformats.org/officeDocument/2006/customXml" ds:itemID="{2153DCF2-DB0E-420D-8763-6D6449639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Hewetson, Christopher</dc:creator>
  <cp:keywords/>
  <dc:description/>
  <cp:lastModifiedBy>Christopher Hewetson (NGED)</cp:lastModifiedBy>
  <cp:revision/>
  <dcterms:created xsi:type="dcterms:W3CDTF">2025-01-15T09:22:44Z</dcterms:created>
  <dcterms:modified xsi:type="dcterms:W3CDTF">2025-04-30T08:57:08Z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0x0101007997BD2561F69E48832AF6BB01C4068C</vt:lpwstr>
  </property>
  <property fmtid="{D5CDD505-2E9C-101B-9397-08002B2CF9AE}" pid="3" name="MediaServiceImageTags">
    <vt:lpwstr/>
  </property>
</Properties>
</file>